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026"/>
  <workbookPr defaultThemeVersion="166925"/>
  <mc:AlternateContent xmlns:mc="http://schemas.openxmlformats.org/markup-compatibility/2006">
    <mc:Choice Requires="x15">
      <x15ac:absPath xmlns:x15ac="http://schemas.microsoft.com/office/spreadsheetml/2010/11/ac" url="D:\Du lieu Thuan\XD VBQPPL\HD Luat nha o\HS tinh khung gia QB\"/>
    </mc:Choice>
  </mc:AlternateContent>
  <xr:revisionPtr revIDLastSave="0" documentId="13_ncr:1_{B965A2D8-00F8-4465-8741-9288B146438E}" xr6:coauthVersionLast="45" xr6:coauthVersionMax="45" xr10:uidLastSave="{00000000-0000-0000-0000-000000000000}"/>
  <bookViews>
    <workbookView xWindow="-108" yWindow="-108" windowWidth="23256" windowHeight="12576" xr2:uid="{417CE01A-988D-4D09-ABAE-896617E9E176}"/>
  </bookViews>
  <sheets>
    <sheet name="SĐT" sheetId="1" r:id="rId1"/>
    <sheet name="chi so quy doi SVĐT" sheetId="6" r:id="rId2"/>
    <sheet name="lãi suất NH" sheetId="5" r:id="rId3"/>
    <sheet name="Vđ" sheetId="3" r:id="rId4"/>
    <sheet name="Thuê" sheetId="2"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N11" i="1" l="1"/>
  <c r="C13" i="1" l="1"/>
  <c r="C12" i="1"/>
  <c r="C11" i="1"/>
  <c r="G70" i="6"/>
  <c r="G69" i="6"/>
  <c r="G68" i="6"/>
  <c r="G67" i="6"/>
  <c r="G66" i="6"/>
  <c r="G65" i="6"/>
  <c r="G64" i="6"/>
  <c r="G63" i="6"/>
  <c r="G62" i="6"/>
  <c r="G61" i="6"/>
  <c r="G60" i="6"/>
  <c r="G59" i="6"/>
  <c r="G58" i="6"/>
  <c r="G57" i="6"/>
  <c r="G56" i="6"/>
  <c r="G55" i="6"/>
  <c r="G54" i="6"/>
  <c r="G53" i="6"/>
  <c r="G52" i="6"/>
  <c r="G51" i="6"/>
  <c r="G50" i="6"/>
  <c r="G49" i="6"/>
  <c r="G48" i="6"/>
  <c r="G47" i="6"/>
  <c r="G46" i="6"/>
  <c r="G45" i="6"/>
  <c r="G44" i="6"/>
  <c r="G43" i="6"/>
  <c r="G42" i="6"/>
  <c r="G41" i="6"/>
  <c r="G40" i="6"/>
  <c r="G39" i="6"/>
  <c r="G38" i="6"/>
  <c r="G37" i="6"/>
  <c r="G36" i="6"/>
  <c r="G35" i="6"/>
  <c r="G34" i="6"/>
  <c r="G33" i="6"/>
  <c r="G32" i="6"/>
  <c r="G31" i="6"/>
  <c r="G30" i="6"/>
  <c r="G29" i="6"/>
  <c r="G28" i="6"/>
  <c r="G27" i="6"/>
  <c r="G26" i="6"/>
  <c r="G25" i="6"/>
  <c r="G24" i="6"/>
  <c r="G23" i="6"/>
  <c r="G22" i="6"/>
  <c r="G21" i="6"/>
  <c r="G20" i="6"/>
  <c r="G19" i="6"/>
  <c r="G18" i="6"/>
  <c r="G17" i="6"/>
  <c r="G16" i="6"/>
  <c r="G15" i="6"/>
  <c r="G14" i="6"/>
  <c r="G13" i="6"/>
  <c r="G12" i="6"/>
  <c r="G11" i="6"/>
  <c r="G10" i="6"/>
  <c r="G9" i="6"/>
  <c r="G8" i="6"/>
  <c r="G7" i="6"/>
  <c r="G6" i="6"/>
  <c r="G5" i="6"/>
  <c r="N54" i="1"/>
  <c r="N53" i="1"/>
  <c r="N51" i="1"/>
  <c r="N50" i="1"/>
  <c r="N48" i="1"/>
  <c r="N47" i="1"/>
  <c r="N46" i="1"/>
  <c r="N13" i="1"/>
  <c r="N12" i="1"/>
  <c r="G71" i="6" l="1"/>
  <c r="E11" i="3"/>
  <c r="F11" i="3"/>
  <c r="G11" i="3"/>
  <c r="H11" i="3"/>
  <c r="H16" i="3" l="1"/>
  <c r="H15" i="3"/>
  <c r="H13" i="3"/>
  <c r="H12" i="3"/>
  <c r="H9" i="3"/>
  <c r="H8" i="3"/>
  <c r="H7" i="3"/>
  <c r="G16" i="3"/>
  <c r="G15" i="3"/>
  <c r="G13" i="3"/>
  <c r="G12" i="3"/>
  <c r="G9" i="3"/>
  <c r="G8" i="3"/>
  <c r="G7" i="3"/>
  <c r="F16" i="3"/>
  <c r="F15" i="3"/>
  <c r="F13" i="3"/>
  <c r="F12" i="3"/>
  <c r="F9" i="3"/>
  <c r="F8" i="3"/>
  <c r="F7" i="3"/>
  <c r="E16" i="3"/>
  <c r="E15" i="3"/>
  <c r="E13" i="3"/>
  <c r="E12" i="3"/>
  <c r="E9" i="3"/>
  <c r="E8" i="3"/>
  <c r="E7" i="3"/>
  <c r="H19" i="3"/>
  <c r="G19" i="3"/>
  <c r="F19" i="3"/>
  <c r="E19" i="3"/>
  <c r="J20" i="5"/>
  <c r="J17" i="5"/>
  <c r="C51" i="1" l="1"/>
  <c r="C50" i="1"/>
  <c r="C16" i="5" s="1"/>
  <c r="C48" i="1"/>
  <c r="C14" i="5" s="1"/>
  <c r="C47" i="1"/>
  <c r="C46" i="1" s="1"/>
  <c r="C12" i="5" l="1"/>
  <c r="G46" i="1"/>
  <c r="F46" i="1"/>
  <c r="J46" i="1" s="1"/>
  <c r="F13" i="1"/>
  <c r="C10" i="5"/>
  <c r="C13" i="5"/>
  <c r="D16" i="5"/>
  <c r="E16" i="5"/>
  <c r="G12" i="1"/>
  <c r="C9" i="5"/>
  <c r="E14" i="5"/>
  <c r="I14" i="5" s="1"/>
  <c r="F51" i="1"/>
  <c r="C17" i="5"/>
  <c r="E13" i="1"/>
  <c r="D13" i="1"/>
  <c r="E12" i="1"/>
  <c r="F12" i="1"/>
  <c r="F47" i="1"/>
  <c r="J47" i="1" s="1"/>
  <c r="D50" i="1"/>
  <c r="G47" i="1"/>
  <c r="F48" i="1"/>
  <c r="E50" i="1"/>
  <c r="D51" i="1"/>
  <c r="G48" i="1"/>
  <c r="F50" i="1"/>
  <c r="E51" i="1"/>
  <c r="G50" i="1"/>
  <c r="G51" i="1"/>
  <c r="G13" i="1"/>
  <c r="D12" i="1"/>
  <c r="I16" i="5" l="1"/>
  <c r="F16" i="5" s="1"/>
  <c r="I50" i="1" s="1"/>
  <c r="K50" i="1" s="1"/>
  <c r="P50" i="1" s="1"/>
  <c r="R50" i="1" s="1"/>
  <c r="J12" i="1"/>
  <c r="O12" i="1" s="1"/>
  <c r="Q12" i="1" s="1"/>
  <c r="J13" i="1"/>
  <c r="O13" i="1" s="1"/>
  <c r="Q13" i="1" s="1"/>
  <c r="C9" i="3" s="1"/>
  <c r="I9" i="3" s="1"/>
  <c r="L10" i="2" s="1"/>
  <c r="O46" i="1"/>
  <c r="Q46" i="1"/>
  <c r="E12" i="5"/>
  <c r="I12" i="5" s="1"/>
  <c r="D9" i="5"/>
  <c r="E9" i="5"/>
  <c r="I9" i="5" s="1"/>
  <c r="E13" i="5"/>
  <c r="H13" i="5" s="1"/>
  <c r="J51" i="1"/>
  <c r="O51" i="1" s="1"/>
  <c r="Q51" i="1" s="1"/>
  <c r="D10" i="5"/>
  <c r="E10" i="5"/>
  <c r="H14" i="5"/>
  <c r="F14" i="5" s="1"/>
  <c r="I48" i="1" s="1"/>
  <c r="K48" i="1" s="1"/>
  <c r="P48" i="1" s="1"/>
  <c r="R48" i="1" s="1"/>
  <c r="D17" i="5"/>
  <c r="E17" i="5"/>
  <c r="J48" i="1"/>
  <c r="O47" i="1"/>
  <c r="Q47" i="1" s="1"/>
  <c r="J50" i="1"/>
  <c r="H12" i="5" l="1"/>
  <c r="F12" i="5" s="1"/>
  <c r="I17" i="5"/>
  <c r="F17" i="5" s="1"/>
  <c r="I51" i="1" s="1"/>
  <c r="K51" i="1" s="1"/>
  <c r="P51" i="1" s="1"/>
  <c r="R51" i="1" s="1"/>
  <c r="C10" i="2"/>
  <c r="G10" i="2" s="1"/>
  <c r="H9" i="5"/>
  <c r="F9" i="5" s="1"/>
  <c r="I12" i="1" s="1"/>
  <c r="C12" i="2"/>
  <c r="G12" i="2" s="1"/>
  <c r="C11" i="3"/>
  <c r="I11" i="3" s="1"/>
  <c r="L12" i="2" s="1"/>
  <c r="I10" i="5"/>
  <c r="G10" i="5"/>
  <c r="C17" i="2"/>
  <c r="C16" i="3"/>
  <c r="I16" i="3" s="1"/>
  <c r="L17" i="2" s="1"/>
  <c r="H10" i="5"/>
  <c r="I13" i="5"/>
  <c r="F13" i="5" s="1"/>
  <c r="C8" i="3"/>
  <c r="I8" i="3" s="1"/>
  <c r="L9" i="2" s="1"/>
  <c r="C9" i="2"/>
  <c r="C12" i="3"/>
  <c r="I12" i="3" s="1"/>
  <c r="L13" i="2" s="1"/>
  <c r="C13" i="2"/>
  <c r="D15" i="3"/>
  <c r="J15" i="3" s="1"/>
  <c r="M16" i="2" s="1"/>
  <c r="D16" i="2"/>
  <c r="D17" i="2"/>
  <c r="D16" i="3"/>
  <c r="J16" i="3" s="1"/>
  <c r="M17" i="2" s="1"/>
  <c r="D14" i="2"/>
  <c r="D13" i="3"/>
  <c r="J13" i="3" s="1"/>
  <c r="M14" i="2" s="1"/>
  <c r="O48" i="1"/>
  <c r="Q48" i="1" s="1"/>
  <c r="O50" i="1"/>
  <c r="Q50" i="1" s="1"/>
  <c r="E10" i="2" l="1"/>
  <c r="N10" i="2" s="1"/>
  <c r="P10" i="2" s="1"/>
  <c r="F10" i="5"/>
  <c r="I13" i="1" s="1"/>
  <c r="N12" i="2"/>
  <c r="P12" i="2" s="1"/>
  <c r="I47" i="1"/>
  <c r="K47" i="1" s="1"/>
  <c r="P47" i="1" s="1"/>
  <c r="R47" i="1" s="1"/>
  <c r="I46" i="1"/>
  <c r="K46" i="1" s="1"/>
  <c r="P46" i="1" s="1"/>
  <c r="R46" i="1" s="1"/>
  <c r="C13" i="3"/>
  <c r="I13" i="3" s="1"/>
  <c r="L14" i="2" s="1"/>
  <c r="C14" i="2"/>
  <c r="C16" i="2"/>
  <c r="C15" i="3"/>
  <c r="I15" i="3" s="1"/>
  <c r="L16" i="2" s="1"/>
  <c r="G13" i="2"/>
  <c r="N13" i="2" s="1"/>
  <c r="P13" i="2" s="1"/>
  <c r="G9" i="2"/>
  <c r="E9" i="2"/>
  <c r="G17" i="2"/>
  <c r="E17" i="2"/>
  <c r="H14" i="2"/>
  <c r="H17" i="2"/>
  <c r="F17" i="2"/>
  <c r="F16" i="2"/>
  <c r="H16" i="2"/>
  <c r="G18" i="3"/>
  <c r="N17" i="2" l="1"/>
  <c r="P17" i="2" s="1"/>
  <c r="N9" i="2"/>
  <c r="P9" i="2" s="1"/>
  <c r="O17" i="2"/>
  <c r="Q17" i="2" s="1"/>
  <c r="D12" i="2"/>
  <c r="D11" i="3"/>
  <c r="J11" i="3" s="1"/>
  <c r="M12" i="2" s="1"/>
  <c r="O16" i="2"/>
  <c r="Q16" i="2" s="1"/>
  <c r="O14" i="2"/>
  <c r="Q14" i="2" s="1"/>
  <c r="G14" i="2"/>
  <c r="E16" i="2"/>
  <c r="G16" i="2"/>
  <c r="D13" i="2"/>
  <c r="D12" i="3"/>
  <c r="J12" i="3" s="1"/>
  <c r="M13" i="2" s="1"/>
  <c r="E18" i="3"/>
  <c r="D20" i="3"/>
  <c r="D21" i="3"/>
  <c r="H18" i="3"/>
  <c r="N16" i="2" l="1"/>
  <c r="P16" i="2" s="1"/>
  <c r="N14" i="2"/>
  <c r="P14" i="2" s="1"/>
  <c r="H12" i="2"/>
  <c r="H13" i="2"/>
  <c r="F18" i="3"/>
  <c r="O12" i="2" l="1"/>
  <c r="Q12" i="2" s="1"/>
  <c r="O13" i="2"/>
  <c r="Q13" i="2" s="1"/>
  <c r="X21" i="3"/>
  <c r="X22" i="3" s="1"/>
  <c r="X20" i="3" l="1"/>
  <c r="Z20" i="3" s="1"/>
  <c r="AA20" i="3" s="1"/>
  <c r="Z22" i="3"/>
  <c r="AA22" i="3" s="1"/>
  <c r="H9" i="1" l="1"/>
  <c r="H8" i="1"/>
  <c r="C9" i="1"/>
  <c r="C8" i="1"/>
  <c r="C8" i="5"/>
  <c r="C54" i="1"/>
  <c r="C20" i="5" s="1"/>
  <c r="C53" i="1"/>
  <c r="C19" i="5" s="1"/>
  <c r="D8" i="5" l="1"/>
  <c r="E8" i="5"/>
  <c r="H8" i="5" s="1"/>
  <c r="E20" i="5"/>
  <c r="D20" i="5"/>
  <c r="I20" i="5" s="1"/>
  <c r="F20" i="5" s="1"/>
  <c r="I54" i="1" s="1"/>
  <c r="D19" i="5"/>
  <c r="E19" i="5"/>
  <c r="I19" i="5" s="1"/>
  <c r="F19" i="5" s="1"/>
  <c r="I53" i="1" s="1"/>
  <c r="E54" i="1"/>
  <c r="G54" i="1"/>
  <c r="G53" i="1"/>
  <c r="F53" i="1"/>
  <c r="E53" i="1"/>
  <c r="G11" i="1"/>
  <c r="E11" i="1"/>
  <c r="I8" i="5" l="1"/>
  <c r="F8" i="5"/>
  <c r="I11" i="1" s="1"/>
  <c r="K54" i="1"/>
  <c r="B20" i="3"/>
  <c r="B21" i="3"/>
  <c r="D9" i="1"/>
  <c r="D8" i="1"/>
  <c r="K13" i="1" l="1"/>
  <c r="K12" i="1"/>
  <c r="P54" i="1"/>
  <c r="R54" i="1" s="1"/>
  <c r="K11" i="1"/>
  <c r="O8" i="1"/>
  <c r="Q8" i="1" s="1"/>
  <c r="D20" i="2" l="1"/>
  <c r="D19" i="3"/>
  <c r="J19" i="3" s="1"/>
  <c r="M20" i="2" s="1"/>
  <c r="P12" i="1"/>
  <c r="R12" i="1" s="1"/>
  <c r="P13" i="1"/>
  <c r="R13" i="1" s="1"/>
  <c r="P11" i="1"/>
  <c r="R11" i="1" s="1"/>
  <c r="O9" i="1"/>
  <c r="Q9" i="1" s="1"/>
  <c r="D7" i="3" l="1"/>
  <c r="J7" i="3" s="1"/>
  <c r="M8" i="2" s="1"/>
  <c r="D8" i="2"/>
  <c r="D9" i="2"/>
  <c r="D8" i="3"/>
  <c r="J8" i="3" s="1"/>
  <c r="M9" i="2" s="1"/>
  <c r="H20" i="2"/>
  <c r="F20" i="2"/>
  <c r="O20" i="2" s="1"/>
  <c r="Q20" i="2" s="1"/>
  <c r="D10" i="2"/>
  <c r="D9" i="3"/>
  <c r="J9" i="3" s="1"/>
  <c r="M10" i="2" s="1"/>
  <c r="D53" i="1"/>
  <c r="J53" i="1" s="1"/>
  <c r="H10" i="2" l="1"/>
  <c r="F10" i="2"/>
  <c r="F9" i="2"/>
  <c r="H9" i="2"/>
  <c r="H8" i="2"/>
  <c r="F8" i="2"/>
  <c r="O8" i="2" s="1"/>
  <c r="Q8" i="2" s="1"/>
  <c r="O53" i="1"/>
  <c r="Q53" i="1" s="1"/>
  <c r="D11" i="1"/>
  <c r="F11" i="1"/>
  <c r="F54" i="1"/>
  <c r="D54" i="1"/>
  <c r="O10" i="2" l="1"/>
  <c r="Q10" i="2" s="1"/>
  <c r="C19" i="2"/>
  <c r="C18" i="3"/>
  <c r="I18" i="3" s="1"/>
  <c r="L19" i="2" s="1"/>
  <c r="O9" i="2"/>
  <c r="Q9" i="2" s="1"/>
  <c r="J54" i="1"/>
  <c r="J11" i="1"/>
  <c r="E19" i="2" l="1"/>
  <c r="G19" i="2"/>
  <c r="O54" i="1"/>
  <c r="Q54" i="1" s="1"/>
  <c r="O11" i="1"/>
  <c r="Q11" i="1" s="1"/>
  <c r="G21" i="3"/>
  <c r="G20" i="3"/>
  <c r="N19" i="2" l="1"/>
  <c r="P19" i="2" s="1"/>
  <c r="C20" i="2"/>
  <c r="C19" i="3"/>
  <c r="I19" i="3" s="1"/>
  <c r="L20" i="2" s="1"/>
  <c r="C7" i="3"/>
  <c r="I7" i="3" s="1"/>
  <c r="L8" i="2" s="1"/>
  <c r="C8" i="2"/>
  <c r="J20" i="3"/>
  <c r="J21" i="3"/>
  <c r="G8" i="2" l="1"/>
  <c r="E8" i="2"/>
  <c r="G20" i="2"/>
  <c r="E20" i="2"/>
  <c r="W25" i="3"/>
  <c r="N20" i="2" l="1"/>
  <c r="P20" i="2" s="1"/>
  <c r="N8" i="2"/>
  <c r="P8" i="2" s="1"/>
  <c r="Z27" i="3"/>
  <c r="V25" i="3"/>
  <c r="X25" i="3" s="1"/>
  <c r="X26" i="3" s="1"/>
  <c r="Z26" i="3" s="1"/>
  <c r="AA26" i="3" s="1"/>
  <c r="AA27" i="3" l="1"/>
  <c r="K53" i="1" l="1"/>
  <c r="P53" i="1" l="1"/>
  <c r="R53" i="1" s="1"/>
  <c r="D19" i="2" l="1"/>
  <c r="D18" i="3"/>
  <c r="J18" i="3" s="1"/>
  <c r="M19" i="2" s="1"/>
  <c r="H19" i="2" l="1"/>
  <c r="F19" i="2"/>
  <c r="O19" i="2" s="1"/>
  <c r="Q19" i="2" s="1"/>
</calcChain>
</file>

<file path=xl/sharedStrings.xml><?xml version="1.0" encoding="utf-8"?>
<sst xmlns="http://schemas.openxmlformats.org/spreadsheetml/2006/main" count="357" uniqueCount="158">
  <si>
    <t>Loại nhà</t>
  </si>
  <si>
    <t>Suất đầu tư</t>
  </si>
  <si>
    <t xml:space="preserve">đồng/m² sàn ( trừ VAT 10%) </t>
  </si>
  <si>
    <t>Tổng chi phí khác tính cho 1m² sàn xd (2%) (đồng)</t>
  </si>
  <si>
    <t>Tổng đầu tư cho 1 m² sàn</t>
  </si>
  <si>
    <t>VAT</t>
  </si>
  <si>
    <t>Chi phí bảo trì bình quân</t>
  </si>
  <si>
    <t>Tổng vốn đầu tư phân bổ diện tích cho thuê theo nguyên tắc bảo toàn vốn (vđ)</t>
  </si>
  <si>
    <t>SiT</t>
  </si>
  <si>
    <t>Hạ tầng kỹ thuật</t>
  </si>
  <si>
    <t>Cộng chi phí xây dựng</t>
  </si>
  <si>
    <t>Tổng đầu tư cho 1 m² sàn (Tđ)(đồng)</t>
  </si>
  <si>
    <t>Tổng vốn đầu tư phân bổ diện tích cho thuê theo nguyên tắc bảo toàn vốn (vđ) 1m² sử dụng căn hộ (căn nhà)</t>
  </si>
  <si>
    <t>1m2</t>
  </si>
  <si>
    <t xml:space="preserve">Ki </t>
  </si>
  <si>
    <t>Giá cho thuê tối đa cho 1m² sử dụng căn hộ (căn nhà)/1 tháng</t>
  </si>
  <si>
    <t>Chi phí khác ngoài suất đầu tư  (dự phòng trượt giá)</t>
  </si>
  <si>
    <t>Lãi vay</t>
  </si>
  <si>
    <t>24 &lt; số tầng ≤30 không có tầng hầm</t>
  </si>
  <si>
    <t>24 &lt; số tầng ≤ 30 có 1 tầng hầm</t>
  </si>
  <si>
    <t>3 năm</t>
  </si>
  <si>
    <t>2 năm</t>
  </si>
  <si>
    <t>1 năm</t>
  </si>
  <si>
    <t>Năm đầu vay 30%, năm thứ 2 vay 40%</t>
  </si>
  <si>
    <t>Năm đầu vay 20%, năm thứ 2 vay 20%, năm 3 vay 30%</t>
  </si>
  <si>
    <t>Cộng</t>
  </si>
  <si>
    <t>Lợi nhuận cho thuê</t>
  </si>
  <si>
    <t>STT</t>
  </si>
  <si>
    <t xml:space="preserve">Số năm thu hồi vốn </t>
  </si>
  <si>
    <t>5% công trình nhà</t>
  </si>
  <si>
    <t>2 = (1)*5%</t>
  </si>
  <si>
    <t>Chi phí khác ngoài suất đầu tư  (dự phòng )</t>
  </si>
  <si>
    <t>3 = 1x10%</t>
  </si>
  <si>
    <t>Vay 70% trong năm</t>
  </si>
  <si>
    <t>Tối đa</t>
  </si>
  <si>
    <t>Tối thiểu</t>
  </si>
  <si>
    <t>1,5% công trình nhà</t>
  </si>
  <si>
    <t>2 = (1)*1,5%</t>
  </si>
  <si>
    <t>3 = (1)*5%</t>
  </si>
  <si>
    <t>0% công trình nhà</t>
  </si>
  <si>
    <t>10% công trình nhà</t>
  </si>
  <si>
    <t>4 = (1)x0%</t>
  </si>
  <si>
    <t>4 = (1+2+3)*(20-70)%*7%*1</t>
  </si>
  <si>
    <t>4 = (1+2+3)*(40-70)%*7%*1</t>
  </si>
  <si>
    <t>4 = (1+2+3)*70%*7%*1</t>
  </si>
  <si>
    <t>Lãi vay: Theo văn bản số 5260/NHNN-CSTT ngày 25/6/2024 của Ngân hàng Nhà nước Việt Nam  về việc lãi suất cho vay nhà ở xã hội, nhà ở công nhân, cải tạo, xây dựng chung cư cũ theo Nghị quyết 33/NQ-CP</t>
  </si>
  <si>
    <t>8 = (1+2+4+6)</t>
  </si>
  <si>
    <t>2=SĐT</t>
  </si>
  <si>
    <t xml:space="preserve"> (12)= ((3)+(5)+(10))*(9)*(1+(7))/(12*(8)</t>
  </si>
  <si>
    <t xml:space="preserve"> (13)= ((4)+(6)+(11))*(9)*(1+(7))/(12*(8)</t>
  </si>
  <si>
    <t>(4)=(2)*10%</t>
  </si>
  <si>
    <t>(3)=(1)*2%</t>
  </si>
  <si>
    <t>(5)=(1)*0,08%</t>
  </si>
  <si>
    <t>(6)=(2)*0,1%</t>
  </si>
  <si>
    <t>(10) =Vđ</t>
  </si>
  <si>
    <t>(11) =Vđ</t>
  </si>
  <si>
    <t>8=((2)x(4)x(1+(4))^(7)/(1+(4))^(7)-1</t>
  </si>
  <si>
    <t>9=((3)x(5)x(1+(5))^(6)/(1+(5))^(6)-1</t>
  </si>
  <si>
    <t>14= (8)x(10) x(11)+ (12)</t>
  </si>
  <si>
    <t>15= (9)x(10)   x(11)+ (13)</t>
  </si>
  <si>
    <t>13 = (8)x(10) x(11) *2%</t>
  </si>
  <si>
    <t>12 = (8)x(10)  x(11) *1%</t>
  </si>
  <si>
    <t>9 = (1+3         +5+7)</t>
  </si>
  <si>
    <t>5=(1)  *10%</t>
  </si>
  <si>
    <t>6=  LSNH</t>
  </si>
  <si>
    <t>7= LSNH</t>
  </si>
  <si>
    <t xml:space="preserve">Lãi suất bảo toàn vốn đầu tư </t>
  </si>
  <si>
    <t xml:space="preserve"> (12)= ((3) +(5)+(10))*(9)*(1+(7))/(12*(8)</t>
  </si>
  <si>
    <t>Lãi vay: Theo văn bản số 5260/NHNN-CSTT ngày 25/6/2024  của Ngân hàng Nhà nước Việt Nam  về việc lãi suất cho vay nhà ở xã hội, nhà ở công nhân, cải tạo, xây dựng chung cư cũ theo Nghị quyết 33/NQ-CP</t>
  </si>
  <si>
    <t>Hệ số vùng (Vùng 3)</t>
  </si>
  <si>
    <t>Nhà ở riêng lẻ 1 tầng</t>
  </si>
  <si>
    <t>Nhà ở riêng lẻ ≥ 2 tầng</t>
  </si>
  <si>
    <t>Số tầng ≤ 3</t>
  </si>
  <si>
    <t>Số tầng &gt; 3</t>
  </si>
  <si>
    <t>Nhà ở xã hội dạng chung cư</t>
  </si>
  <si>
    <t>Số tầng ≤ 5</t>
  </si>
  <si>
    <t>5 &lt; số tầng ≤ 10</t>
  </si>
  <si>
    <t>10 &lt; số tầng ≤ 15</t>
  </si>
  <si>
    <t>Nhà ở xã hội dạng ký túc xá, nhà lưu trú công nhân</t>
  </si>
  <si>
    <t>Số tầng &gt; 7</t>
  </si>
  <si>
    <t>Nhà ở xã hội dạng liền kề</t>
  </si>
  <si>
    <t>Nhà ở xã hội riêng lẻ</t>
  </si>
  <si>
    <t>5 &lt; số tầng ≤ 7</t>
  </si>
  <si>
    <t>7%năm</t>
  </si>
  <si>
    <r>
      <t>- GTGT: Theo điểm b khoản 1 Điều 98 Luật Nhà ở số 27/2023/QH 15</t>
    </r>
    <r>
      <rPr>
        <sz val="12"/>
        <color rgb="FF000000"/>
        <rFont val="Times New Roman"/>
        <family val="1"/>
      </rPr>
      <t xml:space="preserve"> </t>
    </r>
    <r>
      <rPr>
        <i/>
        <sz val="14"/>
        <color rgb="FF000000"/>
        <rFont val="Times New Roman"/>
        <family val="1"/>
      </rPr>
      <t>“Chi phí đầu tư xây dựng nhà lưu trú công nhân trong khu công nghiệp được tính là khoản chi được trừ khi xác định thu nhập chịu thuế theo quy định của pháp luật về thuế thu nhập doanh nghiệp.” GTGT =0</t>
    </r>
  </si>
  <si>
    <t>Hệ số quy đổi về thời điểm tính toán (chỉ số giá Quý III 2024/ Quý IV2022)</t>
  </si>
  <si>
    <t>Chỉ số giá năm 2022 là 103,23 (Quyết định số 62/QĐ-BXD ngày 8/2/2023)</t>
  </si>
  <si>
    <t>Chỉ số giá năm 2023 là 102,72 (Quyết định số 167/QĐ-BXD ngày 13/3/2024)</t>
  </si>
  <si>
    <t>Hệ số Điều chỉnh vùng 3 là 1.032 (QĐ số 816/QĐ-BXD ngày 22/8/2024công bố suất vốn đầu tư)</t>
  </si>
  <si>
    <t>Hệ số quy đổi về thời điểm tính toán (suất vốn đầu tư 2023/2022)</t>
  </si>
  <si>
    <t>Chung cư</t>
  </si>
  <si>
    <t>suất vốn đầu tư</t>
  </si>
  <si>
    <t>chi phí thiết bị</t>
  </si>
  <si>
    <t>11110.01</t>
  </si>
  <si>
    <t>Số tầng ≤ 5 không có tầng hầm</t>
  </si>
  <si>
    <t>Số tầng ≤ 5 không có tầng hầm</t>
  </si>
  <si>
    <t>Có 1 tầng hầm</t>
  </si>
  <si>
    <t>Có 1 tầng hầm</t>
  </si>
  <si>
    <t>Có 2 tầng hầm</t>
  </si>
  <si>
    <t>Có 3 tầng hầm</t>
  </si>
  <si>
    <t>Có 4 tầng hầm</t>
  </si>
  <si>
    <t>Có 5 tầng hầm</t>
  </si>
  <si>
    <t>11110.02</t>
  </si>
  <si>
    <t>5 &lt; số tầng ≤ 7 không có tầng hầm</t>
  </si>
  <si>
    <t>5 &lt; số tầng ≤ 7 không có tầng hầm</t>
  </si>
  <si>
    <t>Có 4 tầng hầm</t>
  </si>
  <si>
    <t>11110.03</t>
  </si>
  <si>
    <t>7 &lt; số tầng ≤ 10 không có tầng hầm</t>
  </si>
  <si>
    <t>7 &lt; số tầng ≤ 10 không có tầng hầm</t>
  </si>
  <si>
    <t>Có 2 tầng hầm</t>
  </si>
  <si>
    <t>11110.04</t>
  </si>
  <si>
    <t>10 &lt; số tầng ≤ 15 không có tầng hầm</t>
  </si>
  <si>
    <t>10 &lt; số tầng ≤ 15 không có tầng hầm</t>
  </si>
  <si>
    <t>11110.05</t>
  </si>
  <si>
    <t>15 &lt; số tầng ≤ 20 không có tầng hầm</t>
  </si>
  <si>
    <t>15 &lt; số tầng ≤ 20 không có tầng hầm</t>
  </si>
  <si>
    <t>11110.07</t>
  </si>
  <si>
    <t>20 &lt; số tầng ≤ 24 không có tầng hầm</t>
  </si>
  <si>
    <t>20 &lt; số tầng ≤ 24 không có tầng hầm</t>
  </si>
  <si>
    <t>11110.08</t>
  </si>
  <si>
    <t>24 &lt; số tầng ≤ 30 không có tầng hầm</t>
  </si>
  <si>
    <t>24 &lt; số tầng ≤ 30 không có tầng hầm</t>
  </si>
  <si>
    <t>11110.09</t>
  </si>
  <si>
    <t>30 &lt; số tầng ≤ 35 không có tầng hầm</t>
  </si>
  <si>
    <t>30 &lt; số tầng ≤ 35 không có tầng hầm</t>
  </si>
  <si>
    <t>11110.10</t>
  </si>
  <si>
    <t>35 &lt; số tầng ≤ 40 không có tầng hầm</t>
  </si>
  <si>
    <t>35 &lt; số tầng ≤ 40 không có tầng hầm</t>
  </si>
  <si>
    <t>11110.11</t>
  </si>
  <si>
    <t>40 &lt; số tầng ≤ 45 không có tầng hầm</t>
  </si>
  <si>
    <t>40 &lt; số tầng ≤ 45 không có tầng hầm</t>
  </si>
  <si>
    <t>11110.12</t>
  </si>
  <si>
    <t>45 &lt; số tầng ≤ 50 không có tầng hầm</t>
  </si>
  <si>
    <t>45 &lt; số tầng ≤ 50 không có tầng hầm</t>
  </si>
  <si>
    <t>Nhà ở riêng lẻ</t>
  </si>
  <si>
    <t>11120.01</t>
  </si>
  <si>
    <t>Nhà 1 tầng, tường bao xây gạch, mái tôn</t>
  </si>
  <si>
    <t>11120.02</t>
  </si>
  <si>
    <t>Nhà 1 tầng, căn hộ khép kín, kết cấu tường gạch chịu lực, mái BTCT đổ tại chỗ</t>
  </si>
  <si>
    <t>11120.03</t>
  </si>
  <si>
    <t>Nhà từ 2 đến 3 tầng, kết cấu khung chịu lực BTCT; tường bao xây gạch; sàn, mái BTCT đổ tại chỗ không có tầng hầm</t>
  </si>
  <si>
    <t>11120.04</t>
  </si>
  <si>
    <t>Nhà kiểu biệt thự từ 2 đến 3 tầng, kết cấu khung chịu lực BTCT; tường bao xây gạch; sàn, mái BTCT đổ tại chỗ không có tầng hầm</t>
  </si>
  <si>
    <t>11120.05</t>
  </si>
  <si>
    <t>Nhà từ 4 đến 5 tầng, kết cấu khung chịu lực BTCT; tường bao xây gạch; sàn, mái BTCT đổ tại chỗ, không có tầng hầm</t>
  </si>
  <si>
    <r>
      <t>Diện tích xây dựng dưới 50m</t>
    </r>
    <r>
      <rPr>
        <vertAlign val="superscript"/>
        <sz val="10"/>
        <color rgb="FF000000"/>
        <rFont val="Arial"/>
        <family val="2"/>
      </rPr>
      <t>2</t>
    </r>
  </si>
  <si>
    <r>
      <t>Diện tích xây dựng từ 50 - dưới 70m</t>
    </r>
    <r>
      <rPr>
        <vertAlign val="superscript"/>
        <sz val="10"/>
        <color rgb="FF000000"/>
        <rFont val="Arial"/>
        <family val="2"/>
      </rPr>
      <t>2</t>
    </r>
  </si>
  <si>
    <r>
      <t>Diện tích xây dựng từ 70 - dưới 90m</t>
    </r>
    <r>
      <rPr>
        <vertAlign val="superscript"/>
        <sz val="10"/>
        <color rgb="FF000000"/>
        <rFont val="Arial"/>
        <family val="2"/>
      </rPr>
      <t>2</t>
    </r>
  </si>
  <si>
    <r>
      <t>Diện tích xây dựng từ 90 - dưới 140m</t>
    </r>
    <r>
      <rPr>
        <vertAlign val="superscript"/>
        <sz val="10"/>
        <color rgb="FF000000"/>
        <rFont val="Arial"/>
        <family val="2"/>
      </rPr>
      <t>2</t>
    </r>
  </si>
  <si>
    <r>
      <t>Diện tích xây dựng từ 140 - dưới 180m</t>
    </r>
    <r>
      <rPr>
        <vertAlign val="superscript"/>
        <sz val="10"/>
        <color rgb="FF000000"/>
        <rFont val="Arial"/>
        <family val="2"/>
      </rPr>
      <t>2</t>
    </r>
  </si>
  <si>
    <r>
      <t>Diện tích xây dựng từ 180m</t>
    </r>
    <r>
      <rPr>
        <vertAlign val="superscript"/>
        <sz val="10"/>
        <color rgb="FF000000"/>
        <rFont val="Arial"/>
        <family val="2"/>
      </rPr>
      <t>2</t>
    </r>
    <r>
      <rPr>
        <sz val="10"/>
        <color rgb="FF000000"/>
        <rFont val="Arial"/>
        <family val="2"/>
      </rPr>
      <t> trở lên</t>
    </r>
  </si>
  <si>
    <t>11120.06</t>
  </si>
  <si>
    <t>Nhà từ 4 đến 5 tầng, kết cấu khung chịu lực BTCT; tường bao xây gạch; sàn, mái BTCT đổ tại chỗ, có 1 tầng hầm</t>
  </si>
  <si>
    <r>
      <t>Diện tích xây dựng từ 180m</t>
    </r>
    <r>
      <rPr>
        <vertAlign val="superscript"/>
        <sz val="10"/>
        <color theme="1"/>
        <rFont val="Arial"/>
        <family val="2"/>
      </rPr>
      <t>2</t>
    </r>
    <r>
      <rPr>
        <sz val="10"/>
        <color theme="1"/>
        <rFont val="Arial"/>
        <family val="2"/>
      </rPr>
      <t> trở lên</t>
    </r>
  </si>
  <si>
    <t>Suất vốn đầu tư năm 2022 (số 510/QĐ-BXD)</t>
  </si>
  <si>
    <t>Suất vốn đầu tư năm 2023 (số 816/QĐ-BXD)</t>
  </si>
  <si>
    <t>Hệ số quy đổi 2023/2022</t>
  </si>
  <si>
    <t>Hệ số điều chỉnh suất vốn đầu tư trung bình năm 2023/2022 là 1.022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</si>
</sst>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0_);\(0\)"/>
    <numFmt numFmtId="165" formatCode="0.0%"/>
    <numFmt numFmtId="166" formatCode="0_);[Red]\(0\)"/>
    <numFmt numFmtId="167" formatCode="_(* #,##0.0000_);_(* \(#,##0.0000\);_(* &quot;-&quot;??_);_(@_)"/>
    <numFmt numFmtId="168" formatCode="_(* #,##0.000_);_(* \(#,##0.000\);_(* &quot;-&quot;??_);_(@_)"/>
  </numFmts>
  <fonts count="32" x14ac:knownFonts="1">
    <font>
      <sz val="11"/>
      <color theme="1"/>
      <name val="Calibri"/>
      <family val="2"/>
      <scheme val="minor"/>
    </font>
    <font>
      <sz val="14"/>
      <color theme="1"/>
      <name val="Times New Roman"/>
      <family val="1"/>
    </font>
    <font>
      <b/>
      <sz val="12"/>
      <color rgb="FF000000"/>
      <name val="Times New Roman"/>
      <family val="1"/>
    </font>
    <font>
      <sz val="12"/>
      <color theme="1"/>
      <name val="Times New Roman"/>
      <family val="1"/>
    </font>
    <font>
      <b/>
      <sz val="12"/>
      <color theme="1"/>
      <name val="Times New Roman"/>
      <family val="1"/>
    </font>
    <font>
      <sz val="12"/>
      <color rgb="FF000000"/>
      <name val="Times New Roman"/>
      <family val="1"/>
    </font>
    <font>
      <sz val="12"/>
      <color theme="1"/>
      <name val="Calibri"/>
      <family val="2"/>
      <scheme val="minor"/>
    </font>
    <font>
      <b/>
      <sz val="10"/>
      <color rgb="FF000000"/>
      <name val="Times New Roman"/>
      <family val="1"/>
    </font>
    <font>
      <b/>
      <sz val="10"/>
      <color theme="1"/>
      <name val="Times New Roman"/>
      <family val="1"/>
    </font>
    <font>
      <sz val="10"/>
      <color theme="1"/>
      <name val="Times New Roman"/>
      <family val="1"/>
    </font>
    <font>
      <sz val="10"/>
      <color rgb="FF000000"/>
      <name val="Times New Roman"/>
      <family val="1"/>
    </font>
    <font>
      <sz val="11"/>
      <color rgb="FFFF0000"/>
      <name val="Calibri"/>
      <family val="2"/>
      <scheme val="minor"/>
    </font>
    <font>
      <b/>
      <sz val="10"/>
      <color rgb="FFFF0000"/>
      <name val="Times New Roman"/>
      <family val="1"/>
    </font>
    <font>
      <sz val="10"/>
      <color rgb="FFFF0000"/>
      <name val="Times New Roman"/>
      <family val="1"/>
    </font>
    <font>
      <sz val="12"/>
      <color rgb="FFFF0000"/>
      <name val="Times New Roman"/>
      <family val="1"/>
    </font>
    <font>
      <sz val="12"/>
      <color rgb="FFFF0000"/>
      <name val="Calibri"/>
      <family val="2"/>
      <scheme val="minor"/>
    </font>
    <font>
      <sz val="12"/>
      <color rgb="FF000000"/>
      <name val="Calibri"/>
      <family val="2"/>
    </font>
    <font>
      <sz val="11"/>
      <color theme="1"/>
      <name val="Calibri"/>
      <family val="2"/>
      <scheme val="minor"/>
    </font>
    <font>
      <sz val="10"/>
      <color rgb="FF000000"/>
      <name val="Calibri"/>
      <family val="2"/>
    </font>
    <font>
      <sz val="14"/>
      <color rgb="FF000000"/>
      <name val="Times New Roman"/>
      <family val="1"/>
    </font>
    <font>
      <i/>
      <sz val="14"/>
      <color rgb="FF000000"/>
      <name val="Times New Roman"/>
      <family val="1"/>
    </font>
    <font>
      <b/>
      <sz val="11"/>
      <color theme="1"/>
      <name val="Calibri"/>
      <family val="2"/>
      <scheme val="minor"/>
    </font>
    <font>
      <sz val="10"/>
      <color rgb="FF000000"/>
      <name val="Arial"/>
      <family val="2"/>
    </font>
    <font>
      <b/>
      <sz val="10"/>
      <color rgb="FF000000"/>
      <name val="Arial"/>
      <family val="2"/>
    </font>
    <font>
      <sz val="10"/>
      <name val="Arial"/>
      <family val="2"/>
    </font>
    <font>
      <b/>
      <sz val="10"/>
      <name val="Arial"/>
      <family val="2"/>
    </font>
    <font>
      <b/>
      <i/>
      <sz val="10"/>
      <color rgb="FF000000"/>
      <name val="Arial"/>
      <family val="2"/>
    </font>
    <font>
      <b/>
      <i/>
      <sz val="11"/>
      <color theme="1"/>
      <name val="Calibri"/>
      <family val="2"/>
      <scheme val="minor"/>
    </font>
    <font>
      <vertAlign val="superscript"/>
      <sz val="10"/>
      <color rgb="FF000000"/>
      <name val="Arial"/>
      <family val="2"/>
    </font>
    <font>
      <sz val="10"/>
      <color theme="1"/>
      <name val="Arial"/>
      <family val="2"/>
    </font>
    <font>
      <vertAlign val="superscript"/>
      <sz val="10"/>
      <color theme="1"/>
      <name val="Arial"/>
      <family val="2"/>
    </font>
    <font>
      <b/>
      <sz val="10"/>
      <color theme="1"/>
      <name val="Arial"/>
      <family val="2"/>
    </font>
  </fonts>
  <fills count="4">
    <fill>
      <patternFill patternType="none"/>
    </fill>
    <fill>
      <patternFill patternType="gray125"/>
    </fill>
    <fill>
      <patternFill patternType="solid">
        <fgColor rgb="FFFFFFFF"/>
        <bgColor indexed="64"/>
      </patternFill>
    </fill>
    <fill>
      <patternFill patternType="solid">
        <fgColor rgb="FFFFFF0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s>
  <cellStyleXfs count="2">
    <xf numFmtId="0" fontId="0" fillId="0" borderId="0"/>
    <xf numFmtId="43" fontId="17" fillId="0" borderId="0" applyFont="0" applyFill="0" applyBorder="0" applyAlignment="0" applyProtection="0"/>
  </cellStyleXfs>
  <cellXfs count="173">
    <xf numFmtId="0" fontId="0" fillId="0" borderId="0" xfId="0"/>
    <xf numFmtId="0" fontId="1" fillId="0" borderId="0" xfId="0" applyFont="1"/>
    <xf numFmtId="3" fontId="0" fillId="0" borderId="0" xfId="0" applyNumberFormat="1"/>
    <xf numFmtId="0" fontId="5" fillId="0" borderId="1" xfId="0" applyFont="1" applyBorder="1" applyAlignment="1">
      <alignment horizontal="center" vertical="center" wrapText="1"/>
    </xf>
    <xf numFmtId="164" fontId="5" fillId="0" borderId="1" xfId="0" applyNumberFormat="1" applyFont="1" applyBorder="1" applyAlignment="1">
      <alignment horizontal="center" vertical="center" wrapText="1"/>
    </xf>
    <xf numFmtId="0" fontId="3" fillId="0" borderId="1" xfId="0" applyFont="1" applyBorder="1" applyAlignment="1">
      <alignment horizontal="center" vertical="center" wrapText="1"/>
    </xf>
    <xf numFmtId="3" fontId="5" fillId="0" borderId="1" xfId="0" applyNumberFormat="1" applyFont="1" applyBorder="1" applyAlignment="1">
      <alignment horizontal="right" vertical="center"/>
    </xf>
    <xf numFmtId="3" fontId="3" fillId="0" borderId="1" xfId="0" applyNumberFormat="1" applyFont="1" applyBorder="1" applyAlignment="1">
      <alignment horizontal="right" vertical="center"/>
    </xf>
    <xf numFmtId="4" fontId="3" fillId="0" borderId="1" xfId="0" applyNumberFormat="1" applyFont="1" applyBorder="1" applyAlignment="1">
      <alignment horizontal="right" vertical="center"/>
    </xf>
    <xf numFmtId="0" fontId="6" fillId="0" borderId="0" xfId="0" applyFont="1"/>
    <xf numFmtId="3" fontId="6" fillId="0" borderId="0" xfId="0" applyNumberFormat="1" applyFont="1"/>
    <xf numFmtId="0" fontId="5" fillId="0" borderId="1" xfId="0" applyFont="1" applyBorder="1" applyAlignment="1">
      <alignment horizontal="left" vertical="center" wrapText="1"/>
    </xf>
    <xf numFmtId="9"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0" fontId="3" fillId="0" borderId="1" xfId="0" applyNumberFormat="1" applyFont="1" applyBorder="1" applyAlignment="1">
      <alignment horizontal="right" vertical="center"/>
    </xf>
    <xf numFmtId="0" fontId="5" fillId="0" borderId="2" xfId="0" applyFont="1" applyBorder="1" applyAlignment="1">
      <alignment horizontal="left" vertical="center" wrapText="1"/>
    </xf>
    <xf numFmtId="3" fontId="5" fillId="0" borderId="2" xfId="0" applyNumberFormat="1" applyFont="1" applyBorder="1" applyAlignment="1">
      <alignment horizontal="right" vertical="center"/>
    </xf>
    <xf numFmtId="4" fontId="3" fillId="0" borderId="2" xfId="0" applyNumberFormat="1" applyFont="1" applyBorder="1" applyAlignment="1">
      <alignment horizontal="right" vertical="center"/>
    </xf>
    <xf numFmtId="3" fontId="3" fillId="0" borderId="2" xfId="0" applyNumberFormat="1" applyFont="1" applyBorder="1" applyAlignment="1">
      <alignment horizontal="right" vertical="center"/>
    </xf>
    <xf numFmtId="0" fontId="2" fillId="0" borderId="1" xfId="0" applyFont="1" applyBorder="1" applyAlignment="1">
      <alignment horizontal="center" vertical="center" wrapText="1"/>
    </xf>
    <xf numFmtId="0" fontId="9" fillId="0" borderId="1" xfId="0" applyFont="1" applyBorder="1" applyAlignment="1">
      <alignment vertical="top" wrapText="1"/>
    </xf>
    <xf numFmtId="9" fontId="9" fillId="0" borderId="1" xfId="0" applyNumberFormat="1" applyFont="1" applyBorder="1" applyAlignment="1">
      <alignment vertical="top" wrapText="1"/>
    </xf>
    <xf numFmtId="0" fontId="9" fillId="0" borderId="1" xfId="0" applyFont="1" applyBorder="1" applyAlignment="1">
      <alignment horizontal="center" vertical="center" wrapText="1"/>
    </xf>
    <xf numFmtId="3" fontId="10" fillId="0" borderId="1" xfId="0" applyNumberFormat="1" applyFont="1" applyBorder="1" applyAlignment="1">
      <alignment horizontal="right" vertical="center"/>
    </xf>
    <xf numFmtId="0" fontId="10" fillId="0" borderId="1" xfId="0" applyFont="1" applyBorder="1" applyAlignment="1">
      <alignment horizontal="right" vertical="center"/>
    </xf>
    <xf numFmtId="3" fontId="9" fillId="0" borderId="1" xfId="0" applyNumberFormat="1" applyFont="1" applyBorder="1" applyAlignment="1">
      <alignment horizontal="right" vertical="center"/>
    </xf>
    <xf numFmtId="0" fontId="9" fillId="0" borderId="1" xfId="0" applyFont="1" applyBorder="1"/>
    <xf numFmtId="0" fontId="9" fillId="0" borderId="0" xfId="0" applyFont="1"/>
    <xf numFmtId="0" fontId="12" fillId="0" borderId="1" xfId="0" applyFont="1" applyBorder="1" applyAlignment="1">
      <alignment horizontal="center" vertical="center" wrapText="1"/>
    </xf>
    <xf numFmtId="0" fontId="13" fillId="0" borderId="1" xfId="0" applyFont="1" applyBorder="1" applyAlignment="1">
      <alignment horizontal="center" vertical="center" wrapText="1"/>
    </xf>
    <xf numFmtId="3" fontId="13" fillId="0" borderId="1" xfId="0" applyNumberFormat="1" applyFont="1" applyBorder="1" applyAlignment="1">
      <alignment horizontal="right" vertical="center"/>
    </xf>
    <xf numFmtId="0" fontId="13" fillId="0" borderId="0" xfId="0" applyFont="1"/>
    <xf numFmtId="9" fontId="13" fillId="0" borderId="1" xfId="0" applyNumberFormat="1" applyFont="1" applyBorder="1" applyAlignment="1">
      <alignment vertical="top" wrapText="1"/>
    </xf>
    <xf numFmtId="0" fontId="13" fillId="0" borderId="1" xfId="0" applyFont="1" applyBorder="1" applyAlignment="1">
      <alignment vertical="top" wrapText="1"/>
    </xf>
    <xf numFmtId="0" fontId="14" fillId="0" borderId="1" xfId="0" applyFont="1" applyBorder="1" applyAlignment="1">
      <alignment horizontal="right" vertical="center" wrapText="1"/>
    </xf>
    <xf numFmtId="164" fontId="14" fillId="0" borderId="1" xfId="0" applyNumberFormat="1" applyFont="1" applyBorder="1" applyAlignment="1">
      <alignment horizontal="right" vertical="center" wrapText="1"/>
    </xf>
    <xf numFmtId="3" fontId="14" fillId="0" borderId="1" xfId="0" applyNumberFormat="1" applyFont="1" applyBorder="1" applyAlignment="1">
      <alignment horizontal="right" vertical="center" wrapText="1"/>
    </xf>
    <xf numFmtId="0" fontId="14" fillId="0" borderId="2" xfId="0" applyFont="1" applyBorder="1" applyAlignment="1">
      <alignment horizontal="right" vertical="center" wrapText="1"/>
    </xf>
    <xf numFmtId="0" fontId="15" fillId="0" borderId="0" xfId="0" applyFont="1" applyAlignment="1">
      <alignment horizontal="right"/>
    </xf>
    <xf numFmtId="0" fontId="14" fillId="0" borderId="1" xfId="0" applyFont="1" applyBorder="1" applyAlignment="1">
      <alignment horizontal="center" vertical="center" wrapText="1"/>
    </xf>
    <xf numFmtId="164" fontId="14" fillId="0" borderId="1" xfId="0" applyNumberFormat="1" applyFont="1" applyBorder="1" applyAlignment="1">
      <alignment horizontal="center" vertical="center" wrapText="1"/>
    </xf>
    <xf numFmtId="9" fontId="14" fillId="0" borderId="1" xfId="0" applyNumberFormat="1" applyFont="1" applyBorder="1" applyAlignment="1">
      <alignment horizontal="center" vertical="center" wrapText="1"/>
    </xf>
    <xf numFmtId="4" fontId="14" fillId="0" borderId="1" xfId="0" applyNumberFormat="1" applyFont="1" applyBorder="1" applyAlignment="1">
      <alignment horizontal="right" vertical="center"/>
    </xf>
    <xf numFmtId="3" fontId="14" fillId="0" borderId="2" xfId="0" applyNumberFormat="1" applyFont="1" applyBorder="1" applyAlignment="1">
      <alignment horizontal="right" vertical="center"/>
    </xf>
    <xf numFmtId="3" fontId="14" fillId="0" borderId="1" xfId="0" applyNumberFormat="1" applyFont="1" applyBorder="1" applyAlignment="1">
      <alignment horizontal="right" vertical="center"/>
    </xf>
    <xf numFmtId="0" fontId="15" fillId="0" borderId="0" xfId="0" applyFont="1"/>
    <xf numFmtId="3" fontId="15" fillId="0" borderId="0" xfId="0" applyNumberFormat="1" applyFont="1"/>
    <xf numFmtId="0" fontId="14" fillId="0" borderId="1" xfId="0" applyFont="1" applyFill="1" applyBorder="1" applyAlignment="1">
      <alignment horizontal="center" vertical="center" wrapText="1"/>
    </xf>
    <xf numFmtId="164" fontId="14" fillId="0" borderId="1" xfId="0" applyNumberFormat="1" applyFont="1" applyFill="1" applyBorder="1" applyAlignment="1">
      <alignment horizontal="center" vertical="center" wrapText="1"/>
    </xf>
    <xf numFmtId="3" fontId="14" fillId="0" borderId="1" xfId="0" applyNumberFormat="1" applyFont="1" applyFill="1" applyBorder="1" applyAlignment="1">
      <alignment horizontal="right" vertical="center"/>
    </xf>
    <xf numFmtId="3" fontId="14" fillId="0" borderId="2" xfId="0" applyNumberFormat="1" applyFont="1" applyFill="1" applyBorder="1" applyAlignment="1">
      <alignment horizontal="right" vertical="center"/>
    </xf>
    <xf numFmtId="0" fontId="15" fillId="0" borderId="0" xfId="0" applyFont="1" applyFill="1"/>
    <xf numFmtId="0" fontId="11" fillId="0" borderId="0" xfId="0" applyFont="1"/>
    <xf numFmtId="1" fontId="3" fillId="0" borderId="1" xfId="0" applyNumberFormat="1" applyFont="1" applyBorder="1" applyAlignment="1">
      <alignment horizontal="right" vertical="center"/>
    </xf>
    <xf numFmtId="0" fontId="9" fillId="0" borderId="0" xfId="0" applyFont="1" applyFill="1"/>
    <xf numFmtId="0" fontId="7" fillId="0" borderId="1" xfId="0" applyFont="1" applyBorder="1" applyAlignment="1">
      <alignment horizontal="center" vertical="center" wrapText="1"/>
    </xf>
    <xf numFmtId="0" fontId="9" fillId="0" borderId="0" xfId="0" applyFont="1" applyAlignment="1">
      <alignment horizontal="center"/>
    </xf>
    <xf numFmtId="0" fontId="3" fillId="0" borderId="1" xfId="0" applyFont="1" applyBorder="1" applyAlignment="1">
      <alignment horizontal="center" vertical="center"/>
    </xf>
    <xf numFmtId="0" fontId="2" fillId="0" borderId="1" xfId="0" applyFont="1" applyFill="1" applyBorder="1" applyAlignment="1">
      <alignment horizontal="center" vertical="center" wrapText="1"/>
    </xf>
    <xf numFmtId="0" fontId="3" fillId="0" borderId="0" xfId="0" applyFont="1" applyFill="1"/>
    <xf numFmtId="9" fontId="2" fillId="0" borderId="1" xfId="0" applyNumberFormat="1" applyFont="1" applyFill="1" applyBorder="1" applyAlignment="1">
      <alignment horizontal="center" vertical="center" wrapText="1"/>
    </xf>
    <xf numFmtId="0" fontId="3" fillId="0" borderId="1" xfId="0" applyFont="1" applyFill="1" applyBorder="1" applyAlignment="1">
      <alignment vertical="top" wrapText="1"/>
    </xf>
    <xf numFmtId="0" fontId="5" fillId="0" borderId="1" xfId="0" applyFont="1" applyFill="1" applyBorder="1" applyAlignment="1">
      <alignment horizontal="center" vertical="center" wrapText="1"/>
    </xf>
    <xf numFmtId="9" fontId="5" fillId="0" borderId="1" xfId="0" applyNumberFormat="1" applyFont="1" applyFill="1" applyBorder="1" applyAlignment="1">
      <alignment horizontal="center" vertical="center" wrapText="1"/>
    </xf>
    <xf numFmtId="0" fontId="5" fillId="0" borderId="1" xfId="0" applyFont="1" applyFill="1" applyBorder="1" applyAlignment="1">
      <alignment horizontal="left" vertical="center" wrapText="1"/>
    </xf>
    <xf numFmtId="3" fontId="5" fillId="0" borderId="1" xfId="0" applyNumberFormat="1" applyFont="1" applyFill="1" applyBorder="1" applyAlignment="1">
      <alignment horizontal="right" vertical="center"/>
    </xf>
    <xf numFmtId="0" fontId="3" fillId="0" borderId="1" xfId="0" applyFont="1" applyFill="1" applyBorder="1" applyAlignment="1">
      <alignment horizontal="center" vertical="center"/>
    </xf>
    <xf numFmtId="0" fontId="6" fillId="0" borderId="0" xfId="0" applyFont="1" applyFill="1"/>
    <xf numFmtId="0" fontId="0" fillId="0" borderId="0" xfId="0" applyAlignment="1">
      <alignment horizontal="center" vertical="center"/>
    </xf>
    <xf numFmtId="0" fontId="6" fillId="0" borderId="0" xfId="0" applyFont="1" applyAlignment="1">
      <alignment horizontal="center" vertical="center"/>
    </xf>
    <xf numFmtId="0" fontId="3" fillId="0" borderId="0" xfId="0" applyFont="1" applyFill="1" applyAlignment="1">
      <alignment horizontal="center" vertical="center"/>
    </xf>
    <xf numFmtId="0" fontId="6" fillId="0" borderId="0" xfId="0" applyFont="1" applyFill="1" applyAlignment="1">
      <alignment horizontal="center" vertical="center"/>
    </xf>
    <xf numFmtId="0" fontId="5" fillId="0" borderId="1" xfId="0" applyFont="1" applyBorder="1" applyAlignment="1">
      <alignment horizontal="center" vertical="center"/>
    </xf>
    <xf numFmtId="0" fontId="2" fillId="0" borderId="1" xfId="0" applyFont="1" applyBorder="1" applyAlignment="1">
      <alignment vertical="center" wrapText="1"/>
    </xf>
    <xf numFmtId="0" fontId="13" fillId="0" borderId="1" xfId="0" applyFont="1" applyBorder="1"/>
    <xf numFmtId="0" fontId="5" fillId="0" borderId="1" xfId="0" applyFont="1" applyBorder="1" applyAlignment="1">
      <alignment vertical="center" wrapText="1"/>
    </xf>
    <xf numFmtId="0" fontId="16" fillId="0" borderId="1" xfId="0" applyFont="1" applyBorder="1" applyAlignment="1">
      <alignment vertical="center"/>
    </xf>
    <xf numFmtId="0" fontId="9" fillId="0" borderId="1" xfId="0" applyFont="1" applyBorder="1" applyAlignment="1">
      <alignment vertical="top"/>
    </xf>
    <xf numFmtId="0" fontId="5" fillId="2" borderId="1" xfId="0" applyFont="1" applyFill="1" applyBorder="1" applyAlignment="1">
      <alignment horizontal="center" vertical="center" wrapText="1"/>
    </xf>
    <xf numFmtId="0" fontId="5" fillId="2" borderId="1" xfId="0" applyFont="1" applyFill="1" applyBorder="1" applyAlignment="1">
      <alignment vertical="center" wrapText="1"/>
    </xf>
    <xf numFmtId="3" fontId="5" fillId="0" borderId="1" xfId="0" applyNumberFormat="1" applyFont="1" applyFill="1" applyBorder="1" applyAlignment="1">
      <alignment horizontal="center" vertical="center" wrapText="1"/>
    </xf>
    <xf numFmtId="0" fontId="3" fillId="0" borderId="1" xfId="0" applyFont="1" applyFill="1" applyBorder="1"/>
    <xf numFmtId="0" fontId="5" fillId="0" borderId="1" xfId="0" applyFont="1" applyFill="1" applyBorder="1" applyAlignment="1">
      <alignment horizontal="center" vertical="center" wrapText="1"/>
    </xf>
    <xf numFmtId="9" fontId="3" fillId="0" borderId="1" xfId="0" applyNumberFormat="1" applyFont="1" applyFill="1" applyBorder="1"/>
    <xf numFmtId="0" fontId="7" fillId="0" borderId="1" xfId="0" applyFont="1" applyBorder="1" applyAlignment="1">
      <alignment horizontal="center" vertical="center"/>
    </xf>
    <xf numFmtId="10" fontId="13" fillId="0" borderId="1" xfId="0" applyNumberFormat="1" applyFont="1" applyBorder="1" applyAlignment="1">
      <alignment vertical="top" wrapText="1"/>
    </xf>
    <xf numFmtId="10" fontId="9" fillId="0" borderId="1" xfId="0" applyNumberFormat="1" applyFont="1" applyBorder="1" applyAlignment="1">
      <alignment vertical="top" wrapText="1"/>
    </xf>
    <xf numFmtId="9" fontId="7" fillId="0" borderId="1" xfId="0" applyNumberFormat="1" applyFont="1" applyBorder="1" applyAlignment="1">
      <alignment horizontal="center" vertical="center" wrapText="1"/>
    </xf>
    <xf numFmtId="164" fontId="13" fillId="0" borderId="1" xfId="0" applyNumberFormat="1" applyFont="1" applyBorder="1" applyAlignment="1">
      <alignment horizontal="center" vertical="center" wrapText="1"/>
    </xf>
    <xf numFmtId="164" fontId="10" fillId="0" borderId="1" xfId="0" applyNumberFormat="1" applyFont="1" applyBorder="1" applyAlignment="1">
      <alignment horizontal="center" vertical="center" wrapText="1"/>
    </xf>
    <xf numFmtId="0" fontId="10" fillId="0" borderId="1" xfId="0" applyFont="1" applyBorder="1" applyAlignment="1">
      <alignment horizontal="center" vertical="center"/>
    </xf>
    <xf numFmtId="0" fontId="7" fillId="0" borderId="1" xfId="0" applyFont="1" applyBorder="1" applyAlignment="1">
      <alignment vertical="center" wrapText="1"/>
    </xf>
    <xf numFmtId="0" fontId="10" fillId="0" borderId="1" xfId="0" applyFont="1" applyBorder="1" applyAlignment="1">
      <alignment vertical="center" wrapText="1"/>
    </xf>
    <xf numFmtId="0" fontId="18" fillId="0" borderId="1" xfId="0" applyFont="1" applyBorder="1" applyAlignment="1">
      <alignment vertical="center"/>
    </xf>
    <xf numFmtId="0" fontId="10" fillId="2" borderId="1" xfId="0" applyFont="1" applyFill="1" applyBorder="1" applyAlignment="1">
      <alignment horizontal="center" vertical="center" wrapText="1"/>
    </xf>
    <xf numFmtId="0" fontId="10" fillId="2" borderId="1" xfId="0" applyFont="1" applyFill="1" applyBorder="1" applyAlignment="1">
      <alignment vertical="center" wrapText="1"/>
    </xf>
    <xf numFmtId="0" fontId="9" fillId="0" borderId="1" xfId="0" applyFont="1" applyBorder="1" applyAlignment="1">
      <alignment horizontal="center" vertical="center"/>
    </xf>
    <xf numFmtId="0" fontId="7" fillId="3" borderId="1"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9" fillId="3" borderId="1" xfId="0" applyFont="1" applyFill="1" applyBorder="1" applyAlignment="1">
      <alignment vertical="top" wrapText="1"/>
    </xf>
    <xf numFmtId="0" fontId="13" fillId="3" borderId="1" xfId="0" applyFont="1" applyFill="1" applyBorder="1" applyAlignment="1">
      <alignment horizontal="center" vertical="top" wrapText="1"/>
    </xf>
    <xf numFmtId="0" fontId="9" fillId="3" borderId="1" xfId="0" applyFont="1" applyFill="1" applyBorder="1" applyAlignment="1">
      <alignment horizontal="center" vertical="top" wrapText="1"/>
    </xf>
    <xf numFmtId="9" fontId="13" fillId="3" borderId="1" xfId="0" applyNumberFormat="1" applyFont="1" applyFill="1" applyBorder="1" applyAlignment="1">
      <alignment vertical="top" wrapText="1"/>
    </xf>
    <xf numFmtId="9" fontId="9" fillId="3" borderId="1" xfId="0" applyNumberFormat="1" applyFont="1" applyFill="1" applyBorder="1" applyAlignment="1">
      <alignment vertical="top" wrapText="1"/>
    </xf>
    <xf numFmtId="0" fontId="13" fillId="3" borderId="1" xfId="0" applyFont="1" applyFill="1" applyBorder="1" applyAlignment="1">
      <alignment vertical="top" wrapText="1"/>
    </xf>
    <xf numFmtId="9" fontId="13" fillId="3" borderId="1" xfId="0" applyNumberFormat="1" applyFont="1" applyFill="1" applyBorder="1" applyAlignment="1">
      <alignment horizontal="center" vertical="center" wrapText="1"/>
    </xf>
    <xf numFmtId="9" fontId="10" fillId="3" borderId="1" xfId="0" applyNumberFormat="1" applyFont="1" applyFill="1" applyBorder="1" applyAlignment="1">
      <alignment horizontal="center" vertical="center" wrapText="1"/>
    </xf>
    <xf numFmtId="166" fontId="9" fillId="3" borderId="1" xfId="0" applyNumberFormat="1" applyFont="1" applyFill="1" applyBorder="1" applyAlignment="1">
      <alignment vertical="top" wrapText="1"/>
    </xf>
    <xf numFmtId="166" fontId="13" fillId="3" borderId="1" xfId="0" applyNumberFormat="1" applyFont="1" applyFill="1" applyBorder="1" applyAlignment="1">
      <alignment vertical="top" wrapText="1"/>
    </xf>
    <xf numFmtId="0" fontId="10" fillId="3" borderId="1" xfId="0" applyFont="1" applyFill="1" applyBorder="1" applyAlignment="1">
      <alignment horizontal="center" vertical="center" wrapText="1"/>
    </xf>
    <xf numFmtId="0" fontId="13" fillId="3" borderId="1" xfId="0" applyFont="1" applyFill="1" applyBorder="1" applyAlignment="1">
      <alignment horizontal="center" vertical="center" wrapText="1"/>
    </xf>
    <xf numFmtId="0" fontId="10" fillId="3" borderId="1" xfId="0" applyFont="1" applyFill="1" applyBorder="1" applyAlignment="1">
      <alignment horizontal="left" vertical="center" wrapText="1"/>
    </xf>
    <xf numFmtId="0" fontId="9" fillId="3" borderId="1" xfId="0" applyFont="1" applyFill="1" applyBorder="1" applyAlignment="1">
      <alignment horizontal="center"/>
    </xf>
    <xf numFmtId="165" fontId="13" fillId="3" borderId="1" xfId="0" applyNumberFormat="1" applyFont="1" applyFill="1" applyBorder="1" applyAlignment="1">
      <alignment horizontal="center" vertical="center" wrapText="1"/>
    </xf>
    <xf numFmtId="0" fontId="9" fillId="3" borderId="1" xfId="0" applyFont="1" applyFill="1" applyBorder="1" applyAlignment="1">
      <alignment horizontal="center" vertical="center" wrapText="1"/>
    </xf>
    <xf numFmtId="0" fontId="9" fillId="3" borderId="0" xfId="0" applyFont="1" applyFill="1" applyAlignment="1">
      <alignment horizontal="center"/>
    </xf>
    <xf numFmtId="3" fontId="10" fillId="3" borderId="1" xfId="0" applyNumberFormat="1" applyFont="1" applyFill="1" applyBorder="1" applyAlignment="1">
      <alignment horizontal="right" vertical="center"/>
    </xf>
    <xf numFmtId="3" fontId="13" fillId="3" borderId="1" xfId="0" applyNumberFormat="1" applyFont="1" applyFill="1" applyBorder="1" applyAlignment="1">
      <alignment horizontal="right" vertical="center"/>
    </xf>
    <xf numFmtId="0" fontId="10" fillId="3" borderId="1" xfId="0" applyFont="1" applyFill="1" applyBorder="1" applyAlignment="1">
      <alignment horizontal="right" vertical="center"/>
    </xf>
    <xf numFmtId="3" fontId="9" fillId="3" borderId="1" xfId="0" applyNumberFormat="1" applyFont="1" applyFill="1" applyBorder="1" applyAlignment="1">
      <alignment horizontal="right" vertical="center"/>
    </xf>
    <xf numFmtId="0" fontId="10" fillId="3" borderId="1" xfId="0" applyFont="1" applyFill="1" applyBorder="1" applyAlignment="1">
      <alignment horizontal="center" vertical="center"/>
    </xf>
    <xf numFmtId="0" fontId="7" fillId="3" borderId="1" xfId="0" applyFont="1" applyFill="1" applyBorder="1" applyAlignment="1">
      <alignment vertical="center" wrapText="1"/>
    </xf>
    <xf numFmtId="0" fontId="9" fillId="3" borderId="1" xfId="0" applyFont="1" applyFill="1" applyBorder="1"/>
    <xf numFmtId="0" fontId="13" fillId="3" borderId="1" xfId="0" applyFont="1" applyFill="1" applyBorder="1"/>
    <xf numFmtId="0" fontId="10" fillId="3" borderId="1" xfId="0" applyFont="1" applyFill="1" applyBorder="1" applyAlignment="1">
      <alignment vertical="center" wrapText="1"/>
    </xf>
    <xf numFmtId="167" fontId="10" fillId="3" borderId="1" xfId="1" applyNumberFormat="1" applyFont="1" applyFill="1" applyBorder="1" applyAlignment="1">
      <alignment horizontal="right" vertical="center"/>
    </xf>
    <xf numFmtId="0" fontId="18" fillId="3" borderId="1" xfId="0" applyFont="1" applyFill="1" applyBorder="1" applyAlignment="1">
      <alignment vertical="center"/>
    </xf>
    <xf numFmtId="0" fontId="9" fillId="3" borderId="1" xfId="0" applyFont="1" applyFill="1" applyBorder="1" applyAlignment="1">
      <alignment vertical="top"/>
    </xf>
    <xf numFmtId="0" fontId="9" fillId="3" borderId="1" xfId="0" applyFont="1" applyFill="1" applyBorder="1" applyAlignment="1">
      <alignment horizontal="center" vertical="center"/>
    </xf>
    <xf numFmtId="167" fontId="9" fillId="3" borderId="1" xfId="1" applyNumberFormat="1" applyFont="1" applyFill="1" applyBorder="1"/>
    <xf numFmtId="0" fontId="0" fillId="0" borderId="1" xfId="0" applyBorder="1"/>
    <xf numFmtId="0" fontId="21" fillId="0" borderId="1" xfId="0" applyFont="1" applyBorder="1"/>
    <xf numFmtId="0" fontId="0" fillId="0" borderId="5" xfId="0" applyBorder="1"/>
    <xf numFmtId="0" fontId="22" fillId="2" borderId="1" xfId="0" applyFont="1" applyFill="1" applyBorder="1" applyAlignment="1">
      <alignment horizontal="center" vertical="center" wrapText="1"/>
    </xf>
    <xf numFmtId="3" fontId="23" fillId="2" borderId="1" xfId="0" applyNumberFormat="1" applyFont="1" applyFill="1" applyBorder="1" applyAlignment="1">
      <alignment horizontal="right" vertical="center" wrapText="1"/>
    </xf>
    <xf numFmtId="3" fontId="22" fillId="2" borderId="1" xfId="0" applyNumberFormat="1" applyFont="1" applyFill="1" applyBorder="1" applyAlignment="1">
      <alignment horizontal="right" vertical="center" wrapText="1"/>
    </xf>
    <xf numFmtId="0" fontId="22" fillId="2" borderId="1" xfId="0" applyFont="1" applyFill="1" applyBorder="1" applyAlignment="1">
      <alignment horizontal="right" vertical="center" wrapText="1"/>
    </xf>
    <xf numFmtId="0" fontId="24" fillId="2" borderId="1" xfId="0" applyFont="1" applyFill="1" applyBorder="1" applyAlignment="1">
      <alignment horizontal="center" vertical="center" wrapText="1"/>
    </xf>
    <xf numFmtId="0" fontId="25" fillId="2" borderId="1" xfId="0" applyFont="1" applyFill="1" applyBorder="1" applyAlignment="1">
      <alignment horizontal="right" vertical="center" wrapText="1"/>
    </xf>
    <xf numFmtId="0" fontId="24" fillId="2" borderId="1" xfId="0" applyFont="1" applyFill="1" applyBorder="1" applyAlignment="1">
      <alignment horizontal="right" vertical="center" wrapText="1"/>
    </xf>
    <xf numFmtId="0" fontId="22" fillId="2" borderId="1" xfId="0" applyFont="1" applyFill="1" applyBorder="1" applyAlignment="1">
      <alignment vertical="center" wrapText="1"/>
    </xf>
    <xf numFmtId="0" fontId="24" fillId="2" borderId="1" xfId="0" applyFont="1" applyFill="1" applyBorder="1" applyAlignment="1">
      <alignment vertical="center" wrapText="1"/>
    </xf>
    <xf numFmtId="0" fontId="23" fillId="2" borderId="1" xfId="0" applyFont="1" applyFill="1" applyBorder="1" applyAlignment="1">
      <alignment horizontal="center" vertical="center" wrapText="1"/>
    </xf>
    <xf numFmtId="0" fontId="26" fillId="2" borderId="1" xfId="0" applyFont="1" applyFill="1" applyBorder="1" applyAlignment="1">
      <alignment horizontal="center" vertical="center" wrapText="1"/>
    </xf>
    <xf numFmtId="0" fontId="26" fillId="2" borderId="1" xfId="0" applyFont="1" applyFill="1" applyBorder="1" applyAlignment="1">
      <alignment vertical="center" wrapText="1"/>
    </xf>
    <xf numFmtId="0" fontId="27" fillId="0" borderId="1" xfId="0" applyFont="1" applyBorder="1"/>
    <xf numFmtId="0" fontId="23" fillId="2" borderId="1" xfId="0" applyFont="1" applyFill="1" applyBorder="1" applyAlignment="1">
      <alignment vertical="center" wrapText="1"/>
    </xf>
    <xf numFmtId="0" fontId="0" fillId="2" borderId="1" xfId="0" applyFill="1" applyBorder="1"/>
    <xf numFmtId="0" fontId="29" fillId="0" borderId="1" xfId="0" applyFont="1" applyBorder="1"/>
    <xf numFmtId="3" fontId="31" fillId="0" borderId="1" xfId="0" applyNumberFormat="1" applyFont="1" applyBorder="1" applyAlignment="1">
      <alignment horizontal="right" vertical="center"/>
    </xf>
    <xf numFmtId="3" fontId="29" fillId="0" borderId="1" xfId="0" applyNumberFormat="1" applyFont="1" applyBorder="1" applyAlignment="1">
      <alignment horizontal="right" vertical="center"/>
    </xf>
    <xf numFmtId="3" fontId="29" fillId="0" borderId="0" xfId="0" applyNumberFormat="1" applyFont="1" applyAlignment="1">
      <alignment horizontal="right" vertical="center"/>
    </xf>
    <xf numFmtId="0" fontId="29" fillId="0" borderId="0" xfId="0" applyFont="1" applyAlignment="1">
      <alignment horizontal="center" vertical="center"/>
    </xf>
    <xf numFmtId="0" fontId="29" fillId="0" borderId="0" xfId="0" applyFont="1"/>
    <xf numFmtId="3" fontId="31" fillId="0" borderId="0" xfId="0" applyNumberFormat="1" applyFont="1" applyAlignment="1">
      <alignment horizontal="right" vertical="center"/>
    </xf>
    <xf numFmtId="3" fontId="21" fillId="0" borderId="0" xfId="0" applyNumberFormat="1" applyFont="1"/>
    <xf numFmtId="168" fontId="10" fillId="3" borderId="1" xfId="1" applyNumberFormat="1" applyFont="1" applyFill="1" applyBorder="1" applyAlignment="1">
      <alignment horizontal="right" vertical="center"/>
    </xf>
    <xf numFmtId="0" fontId="9" fillId="0" borderId="0" xfId="0" applyFont="1" applyAlignment="1">
      <alignment horizontal="left" vertical="top" wrapText="1"/>
    </xf>
    <xf numFmtId="0" fontId="7" fillId="3" borderId="1"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21" fillId="0" borderId="1" xfId="0" applyFont="1" applyBorder="1" applyAlignment="1">
      <alignment horizontal="center"/>
    </xf>
    <xf numFmtId="0" fontId="0" fillId="0" borderId="0" xfId="0" applyAlignment="1">
      <alignment horizontal="center"/>
    </xf>
    <xf numFmtId="0" fontId="0" fillId="0" borderId="0" xfId="0" applyAlignment="1">
      <alignment horizontal="center" wrapText="1"/>
    </xf>
    <xf numFmtId="0" fontId="2" fillId="0" borderId="1" xfId="0" applyFont="1" applyFill="1" applyBorder="1" applyAlignment="1">
      <alignment horizontal="center" vertical="center" wrapText="1"/>
    </xf>
    <xf numFmtId="0" fontId="3" fillId="0" borderId="0" xfId="0" applyFont="1" applyFill="1" applyAlignment="1">
      <alignment horizontal="left" vertical="top" wrapText="1"/>
    </xf>
    <xf numFmtId="9" fontId="2"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7" fillId="0" borderId="1" xfId="0" applyFont="1" applyBorder="1" applyAlignment="1">
      <alignment horizontal="center" vertical="center" wrapText="1"/>
    </xf>
    <xf numFmtId="0" fontId="8" fillId="0" borderId="1" xfId="0" applyFont="1" applyBorder="1" applyAlignment="1">
      <alignment horizontal="center" vertical="center" wrapText="1"/>
    </xf>
    <xf numFmtId="0" fontId="19" fillId="0" borderId="0" xfId="0" applyFont="1" applyAlignment="1">
      <alignment horizontal="center" vertical="center"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428625</xdr:colOff>
      <xdr:row>7</xdr:row>
      <xdr:rowOff>0</xdr:rowOff>
    </xdr:from>
    <xdr:to>
      <xdr:col>16</xdr:col>
      <xdr:colOff>381000</xdr:colOff>
      <xdr:row>7</xdr:row>
      <xdr:rowOff>0</xdr:rowOff>
    </xdr:to>
    <xdr:cxnSp macro="">
      <xdr:nvCxnSpPr>
        <xdr:cNvPr id="2" name="Straight Connector 1">
          <a:extLst>
            <a:ext uri="{FF2B5EF4-FFF2-40B4-BE49-F238E27FC236}">
              <a16:creationId xmlns:a16="http://schemas.microsoft.com/office/drawing/2014/main" id="{6C57E231-4E0B-40C8-887E-818D59179CB5}"/>
            </a:ext>
          </a:extLst>
        </xdr:cNvPr>
        <xdr:cNvCxnSpPr/>
      </xdr:nvCxnSpPr>
      <xdr:spPr>
        <a:xfrm>
          <a:off x="7867650" y="6791325"/>
          <a:ext cx="3000375" cy="1588"/>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495300</xdr:colOff>
      <xdr:row>7</xdr:row>
      <xdr:rowOff>0</xdr:rowOff>
    </xdr:from>
    <xdr:to>
      <xdr:col>18</xdr:col>
      <xdr:colOff>0</xdr:colOff>
      <xdr:row>7</xdr:row>
      <xdr:rowOff>0</xdr:rowOff>
    </xdr:to>
    <xdr:cxnSp macro="">
      <xdr:nvCxnSpPr>
        <xdr:cNvPr id="6" name="Straight Connector 5">
          <a:extLst>
            <a:ext uri="{FF2B5EF4-FFF2-40B4-BE49-F238E27FC236}">
              <a16:creationId xmlns:a16="http://schemas.microsoft.com/office/drawing/2014/main" id="{405B647A-F8C1-4C3F-8EDC-D9B53F15CE95}"/>
            </a:ext>
          </a:extLst>
        </xdr:cNvPr>
        <xdr:cNvCxnSpPr/>
      </xdr:nvCxnSpPr>
      <xdr:spPr>
        <a:xfrm>
          <a:off x="7867650" y="10067925"/>
          <a:ext cx="4381500" cy="1588"/>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428625</xdr:colOff>
      <xdr:row>20</xdr:row>
      <xdr:rowOff>0</xdr:rowOff>
    </xdr:from>
    <xdr:to>
      <xdr:col>6</xdr:col>
      <xdr:colOff>0</xdr:colOff>
      <xdr:row>20</xdr:row>
      <xdr:rowOff>0</xdr:rowOff>
    </xdr:to>
    <xdr:cxnSp macro="">
      <xdr:nvCxnSpPr>
        <xdr:cNvPr id="2" name="Straight Connector 1">
          <a:extLst>
            <a:ext uri="{FF2B5EF4-FFF2-40B4-BE49-F238E27FC236}">
              <a16:creationId xmlns:a16="http://schemas.microsoft.com/office/drawing/2014/main" id="{59C33542-091B-4F85-802E-C563BAB2FCFB}"/>
            </a:ext>
          </a:extLst>
        </xdr:cNvPr>
        <xdr:cNvCxnSpPr/>
      </xdr:nvCxnSpPr>
      <xdr:spPr>
        <a:xfrm>
          <a:off x="428625" y="8524875"/>
          <a:ext cx="1284922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495300</xdr:colOff>
      <xdr:row>20</xdr:row>
      <xdr:rowOff>0</xdr:rowOff>
    </xdr:from>
    <xdr:to>
      <xdr:col>6</xdr:col>
      <xdr:colOff>0</xdr:colOff>
      <xdr:row>20</xdr:row>
      <xdr:rowOff>0</xdr:rowOff>
    </xdr:to>
    <xdr:cxnSp macro="">
      <xdr:nvCxnSpPr>
        <xdr:cNvPr id="3" name="Straight Connector 2">
          <a:extLst>
            <a:ext uri="{FF2B5EF4-FFF2-40B4-BE49-F238E27FC236}">
              <a16:creationId xmlns:a16="http://schemas.microsoft.com/office/drawing/2014/main" id="{2CD604EC-0F9F-4D23-BF1F-FEA9864A620C}"/>
            </a:ext>
          </a:extLst>
        </xdr:cNvPr>
        <xdr:cNvCxnSpPr/>
      </xdr:nvCxnSpPr>
      <xdr:spPr>
        <a:xfrm>
          <a:off x="495300" y="8524875"/>
          <a:ext cx="136779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E78F7D-5E77-4D96-AF41-5167463D5821}">
  <dimension ref="A2:R60"/>
  <sheetViews>
    <sheetView tabSelected="1" zoomScaleNormal="100" workbookViewId="0">
      <selection activeCell="N12" sqref="N12"/>
    </sheetView>
  </sheetViews>
  <sheetFormatPr defaultRowHeight="14.4" x14ac:dyDescent="0.3"/>
  <cols>
    <col min="1" max="1" width="3.44140625" style="56" customWidth="1"/>
    <col min="2" max="2" width="21.33203125" style="27" customWidth="1"/>
    <col min="3" max="3" width="9.44140625" style="27" customWidth="1"/>
    <col min="4" max="4" width="7.5546875" style="31" customWidth="1"/>
    <col min="5" max="5" width="8.5546875" style="27" customWidth="1"/>
    <col min="6" max="6" width="4.33203125" style="31" customWidth="1"/>
    <col min="7" max="7" width="7.77734375" style="27" customWidth="1"/>
    <col min="8" max="8" width="3.88671875" style="31" customWidth="1"/>
    <col min="9" max="9" width="8.5546875" style="27" customWidth="1"/>
    <col min="10" max="10" width="9" style="31" customWidth="1"/>
    <col min="11" max="12" width="8.6640625" style="27" customWidth="1"/>
    <col min="13" max="13" width="7.109375" style="27" customWidth="1"/>
    <col min="14" max="14" width="7.5546875" style="54" customWidth="1"/>
    <col min="15" max="15" width="7.5546875" style="31" customWidth="1"/>
    <col min="16" max="16" width="7.77734375" style="27" customWidth="1"/>
    <col min="17" max="17" width="9.77734375" style="31" customWidth="1"/>
    <col min="18" max="18" width="9.21875" style="27" customWidth="1"/>
  </cols>
  <sheetData>
    <row r="2" spans="1:18" s="1" customFormat="1" ht="37.5" customHeight="1" x14ac:dyDescent="0.35">
      <c r="A2" s="158"/>
      <c r="B2" s="158" t="s">
        <v>0</v>
      </c>
      <c r="C2" s="97" t="s">
        <v>1</v>
      </c>
      <c r="D2" s="158" t="s">
        <v>9</v>
      </c>
      <c r="E2" s="158"/>
      <c r="F2" s="158" t="s">
        <v>31</v>
      </c>
      <c r="G2" s="158"/>
      <c r="H2" s="158" t="s">
        <v>17</v>
      </c>
      <c r="I2" s="158"/>
      <c r="J2" s="158" t="s">
        <v>10</v>
      </c>
      <c r="K2" s="158"/>
      <c r="L2" s="158" t="s">
        <v>89</v>
      </c>
      <c r="M2" s="158" t="s">
        <v>69</v>
      </c>
      <c r="N2" s="158" t="s">
        <v>85</v>
      </c>
      <c r="O2" s="158" t="s">
        <v>3</v>
      </c>
      <c r="P2" s="158"/>
      <c r="Q2" s="159" t="s">
        <v>4</v>
      </c>
      <c r="R2" s="159"/>
    </row>
    <row r="3" spans="1:18" s="1" customFormat="1" ht="39.6" x14ac:dyDescent="0.35">
      <c r="A3" s="158"/>
      <c r="B3" s="158"/>
      <c r="C3" s="97" t="s">
        <v>2</v>
      </c>
      <c r="D3" s="98" t="s">
        <v>35</v>
      </c>
      <c r="E3" s="97" t="s">
        <v>34</v>
      </c>
      <c r="F3" s="98" t="s">
        <v>35</v>
      </c>
      <c r="G3" s="97" t="s">
        <v>34</v>
      </c>
      <c r="H3" s="98" t="s">
        <v>35</v>
      </c>
      <c r="I3" s="97" t="s">
        <v>34</v>
      </c>
      <c r="J3" s="98" t="s">
        <v>35</v>
      </c>
      <c r="K3" s="97" t="s">
        <v>34</v>
      </c>
      <c r="L3" s="158"/>
      <c r="M3" s="158"/>
      <c r="N3" s="158"/>
      <c r="O3" s="98" t="s">
        <v>35</v>
      </c>
      <c r="P3" s="97" t="s">
        <v>34</v>
      </c>
      <c r="Q3" s="98" t="s">
        <v>35</v>
      </c>
      <c r="R3" s="97" t="s">
        <v>34</v>
      </c>
    </row>
    <row r="4" spans="1:18" s="1" customFormat="1" ht="90.6" customHeight="1" x14ac:dyDescent="0.35">
      <c r="A4" s="158"/>
      <c r="B4" s="158"/>
      <c r="C4" s="99"/>
      <c r="D4" s="100" t="s">
        <v>36</v>
      </c>
      <c r="E4" s="101" t="s">
        <v>29</v>
      </c>
      <c r="F4" s="100" t="s">
        <v>39</v>
      </c>
      <c r="G4" s="101" t="s">
        <v>40</v>
      </c>
      <c r="H4" s="102">
        <v>0</v>
      </c>
      <c r="I4" s="103">
        <v>7.0000000000000007E-2</v>
      </c>
      <c r="J4" s="104"/>
      <c r="K4" s="99"/>
      <c r="L4" s="158"/>
      <c r="M4" s="158"/>
      <c r="N4" s="158"/>
      <c r="O4" s="105">
        <v>0.01</v>
      </c>
      <c r="P4" s="106">
        <v>0.02</v>
      </c>
      <c r="Q4" s="98"/>
      <c r="R4" s="99"/>
    </row>
    <row r="5" spans="1:18" s="1" customFormat="1" ht="27" customHeight="1" x14ac:dyDescent="0.35">
      <c r="A5" s="158"/>
      <c r="B5" s="158"/>
      <c r="C5" s="107">
        <v>-1</v>
      </c>
      <c r="D5" s="108">
        <v>-2</v>
      </c>
      <c r="E5" s="107">
        <v>-3</v>
      </c>
      <c r="F5" s="108">
        <v>-4</v>
      </c>
      <c r="G5" s="107">
        <v>-5</v>
      </c>
      <c r="H5" s="108">
        <v>-6</v>
      </c>
      <c r="I5" s="107">
        <v>-7</v>
      </c>
      <c r="J5" s="108">
        <v>-8</v>
      </c>
      <c r="K5" s="107">
        <v>-9</v>
      </c>
      <c r="L5" s="107"/>
      <c r="M5" s="107">
        <v>-10</v>
      </c>
      <c r="N5" s="107">
        <v>-11</v>
      </c>
      <c r="O5" s="108">
        <v>-12</v>
      </c>
      <c r="P5" s="107">
        <v>-13</v>
      </c>
      <c r="Q5" s="108">
        <v>-14</v>
      </c>
      <c r="R5" s="107">
        <v>-15</v>
      </c>
    </row>
    <row r="6" spans="1:18" s="1" customFormat="1" ht="37.5" customHeight="1" x14ac:dyDescent="0.35">
      <c r="A6" s="158"/>
      <c r="B6" s="158"/>
      <c r="C6" s="109">
        <v>1</v>
      </c>
      <c r="D6" s="110" t="s">
        <v>37</v>
      </c>
      <c r="E6" s="109" t="s">
        <v>38</v>
      </c>
      <c r="F6" s="110" t="s">
        <v>41</v>
      </c>
      <c r="G6" s="109" t="s">
        <v>63</v>
      </c>
      <c r="H6" s="110" t="s">
        <v>64</v>
      </c>
      <c r="I6" s="109" t="s">
        <v>65</v>
      </c>
      <c r="J6" s="110" t="s">
        <v>46</v>
      </c>
      <c r="K6" s="109" t="s">
        <v>62</v>
      </c>
      <c r="L6" s="109"/>
      <c r="M6" s="109">
        <v>10</v>
      </c>
      <c r="N6" s="109">
        <v>11</v>
      </c>
      <c r="O6" s="110" t="s">
        <v>61</v>
      </c>
      <c r="P6" s="109" t="s">
        <v>60</v>
      </c>
      <c r="Q6" s="110" t="s">
        <v>58</v>
      </c>
      <c r="R6" s="111" t="s">
        <v>59</v>
      </c>
    </row>
    <row r="7" spans="1:18" s="1" customFormat="1" ht="18" x14ac:dyDescent="0.35">
      <c r="A7" s="112"/>
      <c r="B7" s="109"/>
      <c r="C7" s="109"/>
      <c r="D7" s="113">
        <v>1.4999999999999999E-2</v>
      </c>
      <c r="E7" s="106">
        <v>0.05</v>
      </c>
      <c r="F7" s="105">
        <v>0</v>
      </c>
      <c r="G7" s="106">
        <v>0.1</v>
      </c>
      <c r="H7" s="105"/>
      <c r="I7" s="106"/>
      <c r="J7" s="110"/>
      <c r="K7" s="109"/>
      <c r="L7" s="109"/>
      <c r="M7" s="109"/>
      <c r="N7" s="109"/>
      <c r="O7" s="105">
        <v>0.01</v>
      </c>
      <c r="P7" s="106">
        <v>0.02</v>
      </c>
      <c r="Q7" s="110"/>
      <c r="R7" s="114"/>
    </row>
    <row r="8" spans="1:18" s="1" customFormat="1" ht="26.4" hidden="1" x14ac:dyDescent="0.35">
      <c r="A8" s="115"/>
      <c r="B8" s="111" t="s">
        <v>18</v>
      </c>
      <c r="C8" s="116">
        <f>8717000*1.168/1.1</f>
        <v>9255869.0909090899</v>
      </c>
      <c r="D8" s="117">
        <f t="shared" ref="D8:D9" si="0">+C8*D$7</f>
        <v>138838.03636363635</v>
      </c>
      <c r="E8" s="116"/>
      <c r="F8" s="117"/>
      <c r="G8" s="116"/>
      <c r="H8" s="117">
        <f>+'lãi suất NH'!F21</f>
        <v>0</v>
      </c>
      <c r="I8" s="116"/>
      <c r="J8" s="117"/>
      <c r="K8" s="116"/>
      <c r="L8" s="116"/>
      <c r="M8" s="118"/>
      <c r="N8" s="118"/>
      <c r="O8" s="117">
        <f t="shared" ref="O8:O9" si="1">+J8*M8*N8*2%</f>
        <v>0</v>
      </c>
      <c r="P8" s="116"/>
      <c r="Q8" s="117">
        <f>(J8*M8*N8)+O8</f>
        <v>0</v>
      </c>
      <c r="R8" s="119"/>
    </row>
    <row r="9" spans="1:18" s="1" customFormat="1" ht="26.4" hidden="1" x14ac:dyDescent="0.35">
      <c r="A9" s="115"/>
      <c r="B9" s="111" t="s">
        <v>19</v>
      </c>
      <c r="C9" s="116">
        <f>8844000*1.156/1.1</f>
        <v>9294240</v>
      </c>
      <c r="D9" s="117">
        <f t="shared" si="0"/>
        <v>139413.6</v>
      </c>
      <c r="E9" s="116"/>
      <c r="F9" s="117"/>
      <c r="G9" s="116"/>
      <c r="H9" s="117">
        <f>+'lãi suất NH'!F22</f>
        <v>0</v>
      </c>
      <c r="I9" s="116"/>
      <c r="J9" s="117"/>
      <c r="K9" s="116"/>
      <c r="L9" s="116"/>
      <c r="M9" s="118"/>
      <c r="N9" s="118"/>
      <c r="O9" s="117">
        <f t="shared" si="1"/>
        <v>0</v>
      </c>
      <c r="P9" s="116"/>
      <c r="Q9" s="117">
        <f>(J9*M9*N9)+O9</f>
        <v>0</v>
      </c>
      <c r="R9" s="119"/>
    </row>
    <row r="10" spans="1:18" ht="26.4" x14ac:dyDescent="0.3">
      <c r="A10" s="120"/>
      <c r="B10" s="121" t="s">
        <v>74</v>
      </c>
      <c r="C10" s="122"/>
      <c r="D10" s="123"/>
      <c r="E10" s="122"/>
      <c r="F10" s="123"/>
      <c r="G10" s="122"/>
      <c r="H10" s="123"/>
      <c r="I10" s="122"/>
      <c r="J10" s="123"/>
      <c r="K10" s="122"/>
      <c r="L10" s="122"/>
      <c r="M10" s="122"/>
      <c r="N10" s="122"/>
      <c r="O10" s="123"/>
      <c r="P10" s="122"/>
      <c r="Q10" s="123"/>
      <c r="R10" s="122"/>
    </row>
    <row r="11" spans="1:18" x14ac:dyDescent="0.3">
      <c r="A11" s="120">
        <v>1</v>
      </c>
      <c r="B11" s="124" t="s">
        <v>75</v>
      </c>
      <c r="C11" s="116">
        <f>5611000*L11/1.1</f>
        <v>5386560</v>
      </c>
      <c r="D11" s="117">
        <f>+C11*D$7</f>
        <v>80798.399999999994</v>
      </c>
      <c r="E11" s="116">
        <f>+C11*E$7</f>
        <v>269328</v>
      </c>
      <c r="F11" s="117">
        <f>+C11*F$7</f>
        <v>0</v>
      </c>
      <c r="G11" s="116">
        <f>+C11*G$7</f>
        <v>538656</v>
      </c>
      <c r="H11" s="117">
        <v>0</v>
      </c>
      <c r="I11" s="116">
        <f>'lãi suất NH'!F8</f>
        <v>433618.08</v>
      </c>
      <c r="J11" s="117">
        <f>+F11+D11+C11+H11</f>
        <v>5467358.4000000004</v>
      </c>
      <c r="K11" s="116">
        <f>+C11+E11+G11+I11</f>
        <v>6628162.0800000001</v>
      </c>
      <c r="L11" s="156">
        <v>1.056</v>
      </c>
      <c r="M11" s="118">
        <v>1.032</v>
      </c>
      <c r="N11" s="125">
        <f>103.72/103.23</f>
        <v>1.0047466821660369</v>
      </c>
      <c r="O11" s="117">
        <f>+J11*M11*N11*O$7</f>
        <v>56690.961394162157</v>
      </c>
      <c r="P11" s="116">
        <f>+K11*M11*N11*P$7</f>
        <v>137454.63644436756</v>
      </c>
      <c r="Q11" s="117">
        <f>(J11*M11*N11)+O11</f>
        <v>5725787.1008103779</v>
      </c>
      <c r="R11" s="119">
        <f>(K11*M11*N11)+P11</f>
        <v>7010186.4586627455</v>
      </c>
    </row>
    <row r="12" spans="1:18" x14ac:dyDescent="0.3">
      <c r="A12" s="120">
        <v>2</v>
      </c>
      <c r="B12" s="124" t="s">
        <v>76</v>
      </c>
      <c r="C12" s="116">
        <f>(7246000+7462000)*L12/2/1.1</f>
        <v>7046469.0909090899</v>
      </c>
      <c r="D12" s="117">
        <f>+C12*D$7</f>
        <v>105697.03636363635</v>
      </c>
      <c r="E12" s="116">
        <f>+C12*E$7</f>
        <v>352323.45454545453</v>
      </c>
      <c r="F12" s="117">
        <f>+C12*F$7</f>
        <v>0</v>
      </c>
      <c r="G12" s="116">
        <f>+C12*G$7</f>
        <v>704646.90909090906</v>
      </c>
      <c r="H12" s="117">
        <v>0</v>
      </c>
      <c r="I12" s="116">
        <f>'lãi suất NH'!F9</f>
        <v>567240.76181818172</v>
      </c>
      <c r="J12" s="117">
        <f>+F12+D12+C12+H12</f>
        <v>7152166.127272726</v>
      </c>
      <c r="K12" s="116">
        <f>+C12+E12+G12+I12</f>
        <v>8670680.2163636349</v>
      </c>
      <c r="L12" s="156">
        <v>1.054</v>
      </c>
      <c r="M12" s="118">
        <v>1.032</v>
      </c>
      <c r="N12" s="125">
        <f>103.72/103.23</f>
        <v>1.0047466821660369</v>
      </c>
      <c r="O12" s="117">
        <f>+J12*M12*N12*O$7</f>
        <v>74160.708726512676</v>
      </c>
      <c r="P12" s="116">
        <f>+K12*M12*N12*P$7</f>
        <v>179812.31938517015</v>
      </c>
      <c r="Q12" s="117">
        <f>(J12*M12*N12)+O12</f>
        <v>7490231.5813777801</v>
      </c>
      <c r="R12" s="119">
        <f>(K12*M12*N12)+P12</f>
        <v>9170428.2886436787</v>
      </c>
    </row>
    <row r="13" spans="1:18" x14ac:dyDescent="0.3">
      <c r="A13" s="120">
        <v>3</v>
      </c>
      <c r="B13" s="126" t="s">
        <v>77</v>
      </c>
      <c r="C13" s="116">
        <f>7812000*L13/1.1</f>
        <v>7492418.1818181807</v>
      </c>
      <c r="D13" s="117">
        <f>+C13*D$7</f>
        <v>112386.27272727271</v>
      </c>
      <c r="E13" s="116">
        <f>+C13*E$7</f>
        <v>374620.90909090906</v>
      </c>
      <c r="F13" s="117">
        <f>+C13*F$7</f>
        <v>0</v>
      </c>
      <c r="G13" s="116">
        <f>+C13*G$7</f>
        <v>749241.81818181812</v>
      </c>
      <c r="H13" s="117">
        <v>0</v>
      </c>
      <c r="I13" s="116">
        <f>'lãi suất NH'!F10</f>
        <v>784081.56272727274</v>
      </c>
      <c r="J13" s="117">
        <f>+F13+D13+C13+H13</f>
        <v>7604804.4545454532</v>
      </c>
      <c r="K13" s="116">
        <f>+C13+E13+G13+I13</f>
        <v>9400362.4718181808</v>
      </c>
      <c r="L13" s="156">
        <v>1.0549999999999999</v>
      </c>
      <c r="M13" s="118">
        <v>1.032</v>
      </c>
      <c r="N13" s="125">
        <f>103.72/103.23</f>
        <v>1.0047466821660369</v>
      </c>
      <c r="O13" s="117">
        <f>+J13*M13*N13*O$7</f>
        <v>78854.109096412765</v>
      </c>
      <c r="P13" s="116">
        <f>+K13*M13*N13*P$7</f>
        <v>194944.449217368</v>
      </c>
      <c r="Q13" s="117">
        <f>(J13*M13*N13)+O13</f>
        <v>7964265.0187376887</v>
      </c>
      <c r="R13" s="119">
        <f>(K13*M13*N13)+P13</f>
        <v>9942166.9100857675</v>
      </c>
    </row>
    <row r="14" spans="1:18" x14ac:dyDescent="0.3">
      <c r="A14" s="120"/>
      <c r="B14" s="126"/>
      <c r="C14" s="116"/>
      <c r="D14" s="117"/>
      <c r="E14" s="116"/>
      <c r="F14" s="117"/>
      <c r="G14" s="116"/>
      <c r="H14" s="117"/>
      <c r="I14" s="116"/>
      <c r="J14" s="117"/>
      <c r="K14" s="116"/>
      <c r="L14" s="156"/>
      <c r="M14" s="118"/>
      <c r="N14" s="125"/>
      <c r="O14" s="117"/>
      <c r="P14" s="116"/>
      <c r="Q14" s="117"/>
      <c r="R14" s="119"/>
    </row>
    <row r="15" spans="1:18" x14ac:dyDescent="0.3">
      <c r="A15" s="120"/>
      <c r="B15" s="126"/>
      <c r="C15" s="116"/>
      <c r="D15" s="117"/>
      <c r="E15" s="116"/>
      <c r="F15" s="117"/>
      <c r="G15" s="116"/>
      <c r="H15" s="117"/>
      <c r="I15" s="116"/>
      <c r="J15" s="117"/>
      <c r="K15" s="116"/>
      <c r="L15" s="156"/>
      <c r="M15" s="118"/>
      <c r="N15" s="125"/>
      <c r="O15" s="117"/>
      <c r="P15" s="116"/>
      <c r="Q15" s="117"/>
      <c r="R15" s="119"/>
    </row>
    <row r="16" spans="1:18" x14ac:dyDescent="0.3">
      <c r="A16" s="120"/>
      <c r="B16" s="126"/>
      <c r="C16" s="116"/>
      <c r="D16" s="117"/>
      <c r="E16" s="116"/>
      <c r="F16" s="117"/>
      <c r="G16" s="116"/>
      <c r="H16" s="117"/>
      <c r="I16" s="116"/>
      <c r="J16" s="117"/>
      <c r="K16" s="116"/>
      <c r="L16" s="156"/>
      <c r="M16" s="118"/>
      <c r="N16" s="125"/>
      <c r="O16" s="117"/>
      <c r="P16" s="116"/>
      <c r="Q16" s="117"/>
      <c r="R16" s="119"/>
    </row>
    <row r="17" spans="1:18" x14ac:dyDescent="0.3">
      <c r="A17" s="120"/>
      <c r="B17" s="126"/>
      <c r="C17" s="116"/>
      <c r="D17" s="117"/>
      <c r="E17" s="116"/>
      <c r="F17" s="117"/>
      <c r="G17" s="116"/>
      <c r="H17" s="117"/>
      <c r="I17" s="116"/>
      <c r="J17" s="117"/>
      <c r="K17" s="116"/>
      <c r="L17" s="156"/>
      <c r="M17" s="118"/>
      <c r="N17" s="125"/>
      <c r="O17" s="117"/>
      <c r="P17" s="116"/>
      <c r="Q17" s="117"/>
      <c r="R17" s="119"/>
    </row>
    <row r="18" spans="1:18" x14ac:dyDescent="0.3">
      <c r="A18" s="120"/>
      <c r="B18" s="126"/>
      <c r="C18" s="116"/>
      <c r="D18" s="117"/>
      <c r="E18" s="116"/>
      <c r="F18" s="117"/>
      <c r="G18" s="116"/>
      <c r="H18" s="117"/>
      <c r="I18" s="116"/>
      <c r="J18" s="117"/>
      <c r="K18" s="116"/>
      <c r="L18" s="156"/>
      <c r="M18" s="118"/>
      <c r="N18" s="125"/>
      <c r="O18" s="117"/>
      <c r="P18" s="116"/>
      <c r="Q18" s="117"/>
      <c r="R18" s="119"/>
    </row>
    <row r="19" spans="1:18" x14ac:dyDescent="0.3">
      <c r="A19" s="120"/>
      <c r="B19" s="126"/>
      <c r="C19" s="116"/>
      <c r="D19" s="117"/>
      <c r="E19" s="116"/>
      <c r="F19" s="117"/>
      <c r="G19" s="116"/>
      <c r="H19" s="117"/>
      <c r="I19" s="116"/>
      <c r="J19" s="117"/>
      <c r="K19" s="116"/>
      <c r="L19" s="156"/>
      <c r="M19" s="118"/>
      <c r="N19" s="125"/>
      <c r="O19" s="117"/>
      <c r="P19" s="116"/>
      <c r="Q19" s="117"/>
      <c r="R19" s="119"/>
    </row>
    <row r="20" spans="1:18" x14ac:dyDescent="0.3">
      <c r="A20" s="120"/>
      <c r="B20" s="126"/>
      <c r="C20" s="116"/>
      <c r="D20" s="117"/>
      <c r="E20" s="116"/>
      <c r="F20" s="117"/>
      <c r="G20" s="116"/>
      <c r="H20" s="117"/>
      <c r="I20" s="116"/>
      <c r="J20" s="117"/>
      <c r="K20" s="116"/>
      <c r="L20" s="156"/>
      <c r="M20" s="118"/>
      <c r="N20" s="125"/>
      <c r="O20" s="117"/>
      <c r="P20" s="116"/>
      <c r="Q20" s="117"/>
      <c r="R20" s="119"/>
    </row>
    <row r="21" spans="1:18" x14ac:dyDescent="0.3">
      <c r="A21" s="120"/>
      <c r="B21" s="126"/>
      <c r="C21" s="116"/>
      <c r="D21" s="117"/>
      <c r="E21" s="116"/>
      <c r="F21" s="117"/>
      <c r="G21" s="116"/>
      <c r="H21" s="117"/>
      <c r="I21" s="116"/>
      <c r="J21" s="117"/>
      <c r="K21" s="116"/>
      <c r="L21" s="156"/>
      <c r="M21" s="118"/>
      <c r="N21" s="125"/>
      <c r="O21" s="117"/>
      <c r="P21" s="116"/>
      <c r="Q21" s="117"/>
      <c r="R21" s="119"/>
    </row>
    <row r="22" spans="1:18" x14ac:dyDescent="0.3">
      <c r="A22" s="120"/>
      <c r="B22" s="126"/>
      <c r="C22" s="116"/>
      <c r="D22" s="117"/>
      <c r="E22" s="116"/>
      <c r="F22" s="117"/>
      <c r="G22" s="116"/>
      <c r="H22" s="117"/>
      <c r="I22" s="116"/>
      <c r="J22" s="117"/>
      <c r="K22" s="116"/>
      <c r="L22" s="156"/>
      <c r="M22" s="118"/>
      <c r="N22" s="125"/>
      <c r="O22" s="117"/>
      <c r="P22" s="116"/>
      <c r="Q22" s="117"/>
      <c r="R22" s="119"/>
    </row>
    <row r="23" spans="1:18" x14ac:dyDescent="0.3">
      <c r="A23" s="120"/>
      <c r="B23" s="126"/>
      <c r="C23" s="116"/>
      <c r="D23" s="117"/>
      <c r="E23" s="116"/>
      <c r="F23" s="117"/>
      <c r="G23" s="116"/>
      <c r="H23" s="117"/>
      <c r="I23" s="116"/>
      <c r="J23" s="117"/>
      <c r="K23" s="116"/>
      <c r="L23" s="156"/>
      <c r="M23" s="118"/>
      <c r="N23" s="125"/>
      <c r="O23" s="117"/>
      <c r="P23" s="116"/>
      <c r="Q23" s="117"/>
      <c r="R23" s="119"/>
    </row>
    <row r="24" spans="1:18" x14ac:dyDescent="0.3">
      <c r="A24" s="120"/>
      <c r="B24" s="126"/>
      <c r="C24" s="116"/>
      <c r="D24" s="117"/>
      <c r="E24" s="116"/>
      <c r="F24" s="117"/>
      <c r="G24" s="116"/>
      <c r="H24" s="117"/>
      <c r="I24" s="116"/>
      <c r="J24" s="117"/>
      <c r="K24" s="116"/>
      <c r="L24" s="156"/>
      <c r="M24" s="118"/>
      <c r="N24" s="125"/>
      <c r="O24" s="117"/>
      <c r="P24" s="116"/>
      <c r="Q24" s="117"/>
      <c r="R24" s="119"/>
    </row>
    <row r="25" spans="1:18" x14ac:dyDescent="0.3">
      <c r="A25" s="120"/>
      <c r="B25" s="126"/>
      <c r="C25" s="116"/>
      <c r="D25" s="117"/>
      <c r="E25" s="116"/>
      <c r="F25" s="117"/>
      <c r="G25" s="116"/>
      <c r="H25" s="117"/>
      <c r="I25" s="116"/>
      <c r="J25" s="117"/>
      <c r="K25" s="116"/>
      <c r="L25" s="156"/>
      <c r="M25" s="118"/>
      <c r="N25" s="125"/>
      <c r="O25" s="117"/>
      <c r="P25" s="116"/>
      <c r="Q25" s="117"/>
      <c r="R25" s="119"/>
    </row>
    <row r="26" spans="1:18" x14ac:dyDescent="0.3">
      <c r="A26" s="120"/>
      <c r="B26" s="126"/>
      <c r="C26" s="116"/>
      <c r="D26" s="117"/>
      <c r="E26" s="116"/>
      <c r="F26" s="117"/>
      <c r="G26" s="116"/>
      <c r="H26" s="117"/>
      <c r="I26" s="116"/>
      <c r="J26" s="117"/>
      <c r="K26" s="116"/>
      <c r="L26" s="156"/>
      <c r="M26" s="118"/>
      <c r="N26" s="125"/>
      <c r="O26" s="117"/>
      <c r="P26" s="116"/>
      <c r="Q26" s="117"/>
      <c r="R26" s="119"/>
    </row>
    <row r="27" spans="1:18" x14ac:dyDescent="0.3">
      <c r="A27" s="120"/>
      <c r="B27" s="126"/>
      <c r="C27" s="116"/>
      <c r="D27" s="117"/>
      <c r="E27" s="116"/>
      <c r="F27" s="117"/>
      <c r="G27" s="116"/>
      <c r="H27" s="117"/>
      <c r="I27" s="116"/>
      <c r="J27" s="117"/>
      <c r="K27" s="116"/>
      <c r="L27" s="156"/>
      <c r="M27" s="118"/>
      <c r="N27" s="125"/>
      <c r="O27" s="117"/>
      <c r="P27" s="116"/>
      <c r="Q27" s="117"/>
      <c r="R27" s="119"/>
    </row>
    <row r="28" spans="1:18" x14ac:dyDescent="0.3">
      <c r="A28" s="120"/>
      <c r="B28" s="126"/>
      <c r="C28" s="116"/>
      <c r="D28" s="117"/>
      <c r="E28" s="116"/>
      <c r="F28" s="117"/>
      <c r="G28" s="116"/>
      <c r="H28" s="117"/>
      <c r="I28" s="116"/>
      <c r="J28" s="117"/>
      <c r="K28" s="116"/>
      <c r="L28" s="156"/>
      <c r="M28" s="118"/>
      <c r="N28" s="125"/>
      <c r="O28" s="117"/>
      <c r="P28" s="116"/>
      <c r="Q28" s="117"/>
      <c r="R28" s="119"/>
    </row>
    <row r="29" spans="1:18" x14ac:dyDescent="0.3">
      <c r="A29" s="120"/>
      <c r="B29" s="126"/>
      <c r="C29" s="116"/>
      <c r="D29" s="117"/>
      <c r="E29" s="116"/>
      <c r="F29" s="117"/>
      <c r="G29" s="116"/>
      <c r="H29" s="117"/>
      <c r="I29" s="116"/>
      <c r="J29" s="117"/>
      <c r="K29" s="116"/>
      <c r="L29" s="156"/>
      <c r="M29" s="118"/>
      <c r="N29" s="125"/>
      <c r="O29" s="117"/>
      <c r="P29" s="116"/>
      <c r="Q29" s="117"/>
      <c r="R29" s="119"/>
    </row>
    <row r="30" spans="1:18" x14ac:dyDescent="0.3">
      <c r="A30" s="120"/>
      <c r="B30" s="126"/>
      <c r="C30" s="116"/>
      <c r="D30" s="117"/>
      <c r="E30" s="116"/>
      <c r="F30" s="117"/>
      <c r="G30" s="116"/>
      <c r="H30" s="117"/>
      <c r="I30" s="116"/>
      <c r="J30" s="117"/>
      <c r="K30" s="116"/>
      <c r="L30" s="156"/>
      <c r="M30" s="118"/>
      <c r="N30" s="125"/>
      <c r="O30" s="117"/>
      <c r="P30" s="116"/>
      <c r="Q30" s="117"/>
      <c r="R30" s="119"/>
    </row>
    <row r="31" spans="1:18" x14ac:dyDescent="0.3">
      <c r="A31" s="120"/>
      <c r="B31" s="126"/>
      <c r="C31" s="116"/>
      <c r="D31" s="117"/>
      <c r="E31" s="116"/>
      <c r="F31" s="117"/>
      <c r="G31" s="116"/>
      <c r="H31" s="117"/>
      <c r="I31" s="116"/>
      <c r="J31" s="117"/>
      <c r="K31" s="116"/>
      <c r="L31" s="156"/>
      <c r="M31" s="118"/>
      <c r="N31" s="125"/>
      <c r="O31" s="117"/>
      <c r="P31" s="116"/>
      <c r="Q31" s="117"/>
      <c r="R31" s="119"/>
    </row>
    <row r="32" spans="1:18" x14ac:dyDescent="0.3">
      <c r="A32" s="120"/>
      <c r="B32" s="126"/>
      <c r="C32" s="116"/>
      <c r="D32" s="117"/>
      <c r="E32" s="116"/>
      <c r="F32" s="117"/>
      <c r="G32" s="116"/>
      <c r="H32" s="117"/>
      <c r="I32" s="116"/>
      <c r="J32" s="117"/>
      <c r="K32" s="116"/>
      <c r="L32" s="156"/>
      <c r="M32" s="118"/>
      <c r="N32" s="125"/>
      <c r="O32" s="117"/>
      <c r="P32" s="116"/>
      <c r="Q32" s="117"/>
      <c r="R32" s="119"/>
    </row>
    <row r="33" spans="1:18" x14ac:dyDescent="0.3">
      <c r="A33" s="120"/>
      <c r="B33" s="126"/>
      <c r="C33" s="116"/>
      <c r="D33" s="117"/>
      <c r="E33" s="116"/>
      <c r="F33" s="117"/>
      <c r="G33" s="116"/>
      <c r="H33" s="117"/>
      <c r="I33" s="116"/>
      <c r="J33" s="117"/>
      <c r="K33" s="116"/>
      <c r="L33" s="156"/>
      <c r="M33" s="118"/>
      <c r="N33" s="125"/>
      <c r="O33" s="117"/>
      <c r="P33" s="116"/>
      <c r="Q33" s="117"/>
      <c r="R33" s="119"/>
    </row>
    <row r="34" spans="1:18" x14ac:dyDescent="0.3">
      <c r="A34" s="120"/>
      <c r="B34" s="126"/>
      <c r="C34" s="116"/>
      <c r="D34" s="117"/>
      <c r="E34" s="116"/>
      <c r="F34" s="117"/>
      <c r="G34" s="116"/>
      <c r="H34" s="117"/>
      <c r="I34" s="116"/>
      <c r="J34" s="117"/>
      <c r="K34" s="116"/>
      <c r="L34" s="156"/>
      <c r="M34" s="118"/>
      <c r="N34" s="125"/>
      <c r="O34" s="117"/>
      <c r="P34" s="116"/>
      <c r="Q34" s="117"/>
      <c r="R34" s="119"/>
    </row>
    <row r="35" spans="1:18" x14ac:dyDescent="0.3">
      <c r="A35" s="120"/>
      <c r="B35" s="126"/>
      <c r="C35" s="116"/>
      <c r="D35" s="117"/>
      <c r="E35" s="116"/>
      <c r="F35" s="117"/>
      <c r="G35" s="116"/>
      <c r="H35" s="117"/>
      <c r="I35" s="116"/>
      <c r="J35" s="117"/>
      <c r="K35" s="116"/>
      <c r="L35" s="156"/>
      <c r="M35" s="118"/>
      <c r="N35" s="125"/>
      <c r="O35" s="117"/>
      <c r="P35" s="116"/>
      <c r="Q35" s="117"/>
      <c r="R35" s="119"/>
    </row>
    <row r="36" spans="1:18" x14ac:dyDescent="0.3">
      <c r="A36" s="120"/>
      <c r="B36" s="126"/>
      <c r="C36" s="116"/>
      <c r="D36" s="117"/>
      <c r="E36" s="116"/>
      <c r="F36" s="117"/>
      <c r="G36" s="116"/>
      <c r="H36" s="117"/>
      <c r="I36" s="116"/>
      <c r="J36" s="117"/>
      <c r="K36" s="116"/>
      <c r="L36" s="156"/>
      <c r="M36" s="118"/>
      <c r="N36" s="125"/>
      <c r="O36" s="117"/>
      <c r="P36" s="116"/>
      <c r="Q36" s="117"/>
      <c r="R36" s="119"/>
    </row>
    <row r="37" spans="1:18" x14ac:dyDescent="0.3">
      <c r="A37" s="120"/>
      <c r="B37" s="126"/>
      <c r="C37" s="116"/>
      <c r="D37" s="117"/>
      <c r="E37" s="116"/>
      <c r="F37" s="117"/>
      <c r="G37" s="116"/>
      <c r="H37" s="117"/>
      <c r="I37" s="116"/>
      <c r="J37" s="117"/>
      <c r="K37" s="116"/>
      <c r="L37" s="156"/>
      <c r="M37" s="118"/>
      <c r="N37" s="125"/>
      <c r="O37" s="117"/>
      <c r="P37" s="116"/>
      <c r="Q37" s="117"/>
      <c r="R37" s="119"/>
    </row>
    <row r="38" spans="1:18" x14ac:dyDescent="0.3">
      <c r="A38" s="120"/>
      <c r="B38" s="126"/>
      <c r="C38" s="116"/>
      <c r="D38" s="117"/>
      <c r="E38" s="116"/>
      <c r="F38" s="117"/>
      <c r="G38" s="116"/>
      <c r="H38" s="117"/>
      <c r="I38" s="116"/>
      <c r="J38" s="117"/>
      <c r="K38" s="116"/>
      <c r="L38" s="156"/>
      <c r="M38" s="118"/>
      <c r="N38" s="125"/>
      <c r="O38" s="117"/>
      <c r="P38" s="116"/>
      <c r="Q38" s="117"/>
      <c r="R38" s="119"/>
    </row>
    <row r="39" spans="1:18" x14ac:dyDescent="0.3">
      <c r="A39" s="120"/>
      <c r="B39" s="126"/>
      <c r="C39" s="116"/>
      <c r="D39" s="117"/>
      <c r="E39" s="116"/>
      <c r="F39" s="117"/>
      <c r="G39" s="116"/>
      <c r="H39" s="117"/>
      <c r="I39" s="116"/>
      <c r="J39" s="117"/>
      <c r="K39" s="116"/>
      <c r="L39" s="156"/>
      <c r="M39" s="118"/>
      <c r="N39" s="125"/>
      <c r="O39" s="117"/>
      <c r="P39" s="116"/>
      <c r="Q39" s="117"/>
      <c r="R39" s="119"/>
    </row>
    <row r="40" spans="1:18" x14ac:dyDescent="0.3">
      <c r="A40" s="120"/>
      <c r="B40" s="126"/>
      <c r="C40" s="116"/>
      <c r="D40" s="117"/>
      <c r="E40" s="116"/>
      <c r="F40" s="117"/>
      <c r="G40" s="116"/>
      <c r="H40" s="117"/>
      <c r="I40" s="116"/>
      <c r="J40" s="117"/>
      <c r="K40" s="116"/>
      <c r="L40" s="156"/>
      <c r="M40" s="118"/>
      <c r="N40" s="125"/>
      <c r="O40" s="117"/>
      <c r="P40" s="116"/>
      <c r="Q40" s="117"/>
      <c r="R40" s="119"/>
    </row>
    <row r="41" spans="1:18" x14ac:dyDescent="0.3">
      <c r="A41" s="120"/>
      <c r="B41" s="126"/>
      <c r="C41" s="116"/>
      <c r="D41" s="117"/>
      <c r="E41" s="116"/>
      <c r="F41" s="117"/>
      <c r="G41" s="116"/>
      <c r="H41" s="117"/>
      <c r="I41" s="116"/>
      <c r="J41" s="117"/>
      <c r="K41" s="116"/>
      <c r="L41" s="156"/>
      <c r="M41" s="118"/>
      <c r="N41" s="125"/>
      <c r="O41" s="117"/>
      <c r="P41" s="116"/>
      <c r="Q41" s="117"/>
      <c r="R41" s="119"/>
    </row>
    <row r="42" spans="1:18" x14ac:dyDescent="0.3">
      <c r="A42" s="120"/>
      <c r="B42" s="126"/>
      <c r="C42" s="116"/>
      <c r="D42" s="117"/>
      <c r="E42" s="116"/>
      <c r="F42" s="117"/>
      <c r="G42" s="116"/>
      <c r="H42" s="117"/>
      <c r="I42" s="116"/>
      <c r="J42" s="117"/>
      <c r="K42" s="116"/>
      <c r="L42" s="156"/>
      <c r="M42" s="118"/>
      <c r="N42" s="125"/>
      <c r="O42" s="117"/>
      <c r="P42" s="116"/>
      <c r="Q42" s="117"/>
      <c r="R42" s="119"/>
    </row>
    <row r="43" spans="1:18" x14ac:dyDescent="0.3">
      <c r="A43" s="120"/>
      <c r="B43" s="126"/>
      <c r="C43" s="116"/>
      <c r="D43" s="117"/>
      <c r="E43" s="116"/>
      <c r="F43" s="117"/>
      <c r="G43" s="116"/>
      <c r="H43" s="117"/>
      <c r="I43" s="116"/>
      <c r="J43" s="117"/>
      <c r="K43" s="116"/>
      <c r="L43" s="156"/>
      <c r="M43" s="118"/>
      <c r="N43" s="125"/>
      <c r="O43" s="117"/>
      <c r="P43" s="116"/>
      <c r="Q43" s="117"/>
      <c r="R43" s="119"/>
    </row>
    <row r="44" spans="1:18" x14ac:dyDescent="0.3">
      <c r="A44" s="120"/>
      <c r="B44" s="126"/>
      <c r="C44" s="116"/>
      <c r="D44" s="117"/>
      <c r="E44" s="116"/>
      <c r="F44" s="117"/>
      <c r="G44" s="116"/>
      <c r="H44" s="117"/>
      <c r="I44" s="116"/>
      <c r="J44" s="117"/>
      <c r="K44" s="116"/>
      <c r="L44" s="156"/>
      <c r="M44" s="118"/>
      <c r="N44" s="125"/>
      <c r="O44" s="117"/>
      <c r="P44" s="116"/>
      <c r="Q44" s="117"/>
      <c r="R44" s="119"/>
    </row>
    <row r="45" spans="1:18" ht="39.6" x14ac:dyDescent="0.3">
      <c r="A45" s="127"/>
      <c r="B45" s="121" t="s">
        <v>78</v>
      </c>
      <c r="C45" s="122"/>
      <c r="D45" s="117"/>
      <c r="E45" s="116"/>
      <c r="F45" s="117"/>
      <c r="G45" s="116"/>
      <c r="H45" s="117"/>
      <c r="I45" s="116"/>
      <c r="J45" s="117"/>
      <c r="K45" s="116"/>
      <c r="L45" s="116"/>
      <c r="M45" s="118"/>
      <c r="N45" s="125"/>
      <c r="O45" s="117"/>
      <c r="P45" s="116"/>
      <c r="Q45" s="117"/>
      <c r="R45" s="119"/>
    </row>
    <row r="46" spans="1:18" x14ac:dyDescent="0.3">
      <c r="A46" s="128">
        <v>1</v>
      </c>
      <c r="B46" s="124" t="s">
        <v>75</v>
      </c>
      <c r="C46" s="116">
        <f>C47/1.0298</f>
        <v>5039813.5560302967</v>
      </c>
      <c r="D46" s="117">
        <v>0</v>
      </c>
      <c r="E46" s="116">
        <v>0</v>
      </c>
      <c r="F46" s="117">
        <f t="shared" ref="F46" si="2">+C46*F$7</f>
        <v>0</v>
      </c>
      <c r="G46" s="116">
        <f t="shared" ref="G46" si="3">+C46*G$7</f>
        <v>503981.35560302972</v>
      </c>
      <c r="H46" s="117">
        <v>0</v>
      </c>
      <c r="I46" s="116">
        <f>'lãi suất NH'!F13</f>
        <v>399630</v>
      </c>
      <c r="J46" s="117">
        <f t="shared" ref="J46" si="4">+F46+D46+C46+H46</f>
        <v>5039813.5560302967</v>
      </c>
      <c r="K46" s="116">
        <f t="shared" ref="K46" si="5">+C46+E46+G46+I46</f>
        <v>5943424.9116333267</v>
      </c>
      <c r="L46" s="156">
        <v>1.056</v>
      </c>
      <c r="M46" s="118">
        <v>1.032</v>
      </c>
      <c r="N46" s="125">
        <f>103.72/103.23</f>
        <v>1.0047466821660369</v>
      </c>
      <c r="O46" s="117">
        <f t="shared" ref="O46" si="6">+J46*M46*N46*O$7</f>
        <v>52257.754995298768</v>
      </c>
      <c r="P46" s="116">
        <f t="shared" ref="P46" si="7">+K46*M46*N46*P$7</f>
        <v>123254.57654815773</v>
      </c>
      <c r="Q46" s="117">
        <f t="shared" ref="Q46" si="8">(J46*M46*N46)+O46</f>
        <v>5278033.2545251753</v>
      </c>
      <c r="R46" s="119">
        <f t="shared" ref="R46" si="9">(K46*M46*N46)+P46</f>
        <v>6285983.4039560445</v>
      </c>
    </row>
    <row r="47" spans="1:18" x14ac:dyDescent="0.3">
      <c r="A47" s="120">
        <v>2</v>
      </c>
      <c r="B47" s="124" t="s">
        <v>82</v>
      </c>
      <c r="C47" s="116">
        <f>5709000/1.1</f>
        <v>5190000</v>
      </c>
      <c r="D47" s="117">
        <v>0</v>
      </c>
      <c r="E47" s="116">
        <v>0</v>
      </c>
      <c r="F47" s="117">
        <f>+C47*F$7</f>
        <v>0</v>
      </c>
      <c r="G47" s="116">
        <f>+C47*G$7</f>
        <v>519000</v>
      </c>
      <c r="H47" s="117">
        <v>0</v>
      </c>
      <c r="I47" s="116">
        <f>'lãi suất NH'!F13</f>
        <v>399630</v>
      </c>
      <c r="J47" s="117">
        <f>+F47+D47+C47+H47</f>
        <v>5190000</v>
      </c>
      <c r="K47" s="116">
        <f>+C47+E47+G47+I47</f>
        <v>6108630</v>
      </c>
      <c r="L47" s="156">
        <v>1.0529999999999999</v>
      </c>
      <c r="M47" s="118">
        <v>1.032</v>
      </c>
      <c r="N47" s="125">
        <f>103.72/103.23</f>
        <v>1.0047466821660369</v>
      </c>
      <c r="O47" s="117">
        <f>+J47*M47*N47*O$7</f>
        <v>53815.036094158677</v>
      </c>
      <c r="P47" s="116">
        <f>+K47*M47*N47*P$7</f>
        <v>126680.59496564951</v>
      </c>
      <c r="Q47" s="117">
        <f>(J47*M47*N47)+O47</f>
        <v>5435318.6455100263</v>
      </c>
      <c r="R47" s="119">
        <f>(K47*M47*N47)+P47</f>
        <v>6460710.3432481252</v>
      </c>
    </row>
    <row r="48" spans="1:18" x14ac:dyDescent="0.3">
      <c r="A48" s="120">
        <v>3</v>
      </c>
      <c r="B48" s="124" t="s">
        <v>79</v>
      </c>
      <c r="C48" s="116">
        <f>5879000/1.1</f>
        <v>5344545.4545454541</v>
      </c>
      <c r="D48" s="117">
        <v>0</v>
      </c>
      <c r="E48" s="116">
        <v>0</v>
      </c>
      <c r="F48" s="117">
        <f>+C48*F$7</f>
        <v>0</v>
      </c>
      <c r="G48" s="116">
        <f>+C48*G$7</f>
        <v>534454.54545454541</v>
      </c>
      <c r="H48" s="117">
        <v>0</v>
      </c>
      <c r="I48" s="116">
        <f>'lãi suất NH'!F14</f>
        <v>411530</v>
      </c>
      <c r="J48" s="117">
        <f>+F48+D48+C48+H48</f>
        <v>5344545.4545454541</v>
      </c>
      <c r="K48" s="116">
        <f>+C48+E48+G48+I48</f>
        <v>6290530</v>
      </c>
      <c r="L48" s="156">
        <v>1.054</v>
      </c>
      <c r="M48" s="118">
        <v>1.032</v>
      </c>
      <c r="N48" s="125">
        <f>103.72/103.23</f>
        <v>1.0047466821660369</v>
      </c>
      <c r="O48" s="117">
        <f>+J48*M48*N48*O$7</f>
        <v>55417.515711606036</v>
      </c>
      <c r="P48" s="116">
        <f>+K48*M48*N48*P$7</f>
        <v>130452.83198512059</v>
      </c>
      <c r="Q48" s="117">
        <f>(J48*M48*N48)+O48</f>
        <v>5597169.0868722098</v>
      </c>
      <c r="R48" s="119">
        <f>(K48*M48*N48)+P48</f>
        <v>6653094.43124115</v>
      </c>
    </row>
    <row r="49" spans="1:18" ht="26.4" x14ac:dyDescent="0.3">
      <c r="A49" s="127"/>
      <c r="B49" s="121" t="s">
        <v>80</v>
      </c>
      <c r="C49" s="122"/>
      <c r="D49" s="123"/>
      <c r="E49" s="122"/>
      <c r="F49" s="123"/>
      <c r="G49" s="122"/>
      <c r="H49" s="123"/>
      <c r="I49" s="122"/>
      <c r="J49" s="123"/>
      <c r="K49" s="122"/>
      <c r="L49" s="122"/>
      <c r="M49" s="122"/>
      <c r="N49" s="129"/>
      <c r="O49" s="123"/>
      <c r="P49" s="122"/>
      <c r="Q49" s="123"/>
      <c r="R49" s="122"/>
    </row>
    <row r="50" spans="1:18" x14ac:dyDescent="0.3">
      <c r="A50" s="120">
        <v>1</v>
      </c>
      <c r="B50" s="124" t="s">
        <v>72</v>
      </c>
      <c r="C50" s="116">
        <f>5100000/1.1</f>
        <v>4636363.6363636358</v>
      </c>
      <c r="D50" s="117">
        <f>+C50*D$7</f>
        <v>69545.45454545453</v>
      </c>
      <c r="E50" s="116">
        <f>+C50*E$7</f>
        <v>231818.18181818179</v>
      </c>
      <c r="F50" s="117">
        <f>+C50*F$7</f>
        <v>0</v>
      </c>
      <c r="G50" s="116">
        <f>+C50*G$7</f>
        <v>463636.36363636359</v>
      </c>
      <c r="H50" s="117">
        <v>0</v>
      </c>
      <c r="I50" s="116">
        <f>'lãi suất NH'!F16</f>
        <v>261259.09090909085</v>
      </c>
      <c r="J50" s="117">
        <f>+F50+D50+C50+H50</f>
        <v>4705909.0909090899</v>
      </c>
      <c r="K50" s="116">
        <f>+C50+E50+G50+I50</f>
        <v>5593077.2727272715</v>
      </c>
      <c r="L50" s="156">
        <v>1.022</v>
      </c>
      <c r="M50" s="118">
        <v>1.032</v>
      </c>
      <c r="N50" s="125">
        <f>103.72/103.23</f>
        <v>1.0047466821660369</v>
      </c>
      <c r="O50" s="117">
        <f>+J50*M50*N50*O$7</f>
        <v>48795.50435127208</v>
      </c>
      <c r="P50" s="116">
        <f>+K50*M50*N50*P$7</f>
        <v>115989.07719045729</v>
      </c>
      <c r="Q50" s="117">
        <f>(J50*M50*N50)+O50</f>
        <v>4928345.9394784803</v>
      </c>
      <c r="R50" s="119">
        <f>(K50*M50*N50)+P50</f>
        <v>5915442.9367133211</v>
      </c>
    </row>
    <row r="51" spans="1:18" x14ac:dyDescent="0.3">
      <c r="A51" s="120">
        <v>2</v>
      </c>
      <c r="B51" s="124" t="s">
        <v>73</v>
      </c>
      <c r="C51" s="116">
        <f>5250000/1.1</f>
        <v>4772727.2727272725</v>
      </c>
      <c r="D51" s="117">
        <f>+C51*D$7</f>
        <v>71590.909090909088</v>
      </c>
      <c r="E51" s="116">
        <f>+C51*E$7</f>
        <v>238636.36363636365</v>
      </c>
      <c r="F51" s="117">
        <f>+C51*F$7</f>
        <v>0</v>
      </c>
      <c r="G51" s="116">
        <f>+C51*G$7</f>
        <v>477272.72727272729</v>
      </c>
      <c r="H51" s="117">
        <v>0</v>
      </c>
      <c r="I51" s="116">
        <f>'lãi suất NH'!F17</f>
        <v>268943.18181818182</v>
      </c>
      <c r="J51" s="117">
        <f>+F51+D51+C51+H51</f>
        <v>4844318.1818181816</v>
      </c>
      <c r="K51" s="116">
        <f>+C51+E51+G51+I51</f>
        <v>5757579.5454545449</v>
      </c>
      <c r="L51" s="156">
        <v>1.022</v>
      </c>
      <c r="M51" s="118">
        <v>1.032</v>
      </c>
      <c r="N51" s="125">
        <f>103.72/103.23</f>
        <v>1.0047466821660369</v>
      </c>
      <c r="O51" s="117">
        <f>+J51*M51*N51*O$7</f>
        <v>50230.666243956555</v>
      </c>
      <c r="P51" s="116">
        <f>+K51*M51*N51*P$7</f>
        <v>119400.52063723546</v>
      </c>
      <c r="Q51" s="117">
        <f>(J51*M51*N51)+O51</f>
        <v>5073297.2906396119</v>
      </c>
      <c r="R51" s="119">
        <f>(K51*M51*N51)+P51</f>
        <v>6089426.5524990084</v>
      </c>
    </row>
    <row r="52" spans="1:18" x14ac:dyDescent="0.3">
      <c r="A52" s="127"/>
      <c r="B52" s="121" t="s">
        <v>81</v>
      </c>
      <c r="C52" s="122"/>
      <c r="D52" s="123"/>
      <c r="E52" s="122"/>
      <c r="F52" s="123"/>
      <c r="G52" s="122"/>
      <c r="H52" s="123"/>
      <c r="I52" s="122"/>
      <c r="J52" s="123"/>
      <c r="K52" s="122"/>
      <c r="L52" s="122"/>
      <c r="M52" s="122"/>
      <c r="N52" s="129"/>
      <c r="O52" s="123"/>
      <c r="P52" s="122"/>
      <c r="Q52" s="123"/>
      <c r="R52" s="122"/>
    </row>
    <row r="53" spans="1:18" x14ac:dyDescent="0.3">
      <c r="A53" s="109">
        <v>1</v>
      </c>
      <c r="B53" s="124" t="s">
        <v>70</v>
      </c>
      <c r="C53" s="116">
        <f>5209000*(5100000/7988000)/1.1</f>
        <v>3023387.3537579095</v>
      </c>
      <c r="D53" s="117">
        <f>+C53*D$7</f>
        <v>45350.810306368643</v>
      </c>
      <c r="E53" s="116">
        <f>+C53*E$7</f>
        <v>151169.36768789549</v>
      </c>
      <c r="F53" s="117">
        <f>+C53*F$7</f>
        <v>0</v>
      </c>
      <c r="G53" s="116">
        <f>+C53*G$7</f>
        <v>302338.73537579097</v>
      </c>
      <c r="H53" s="117">
        <v>0</v>
      </c>
      <c r="I53" s="116">
        <f>'lãi suất NH'!F19</f>
        <v>170367.8773842582</v>
      </c>
      <c r="J53" s="117">
        <f>+F53+D53+C53+H53</f>
        <v>3068738.1640642784</v>
      </c>
      <c r="K53" s="116">
        <f>+C53+E53+G53+I53</f>
        <v>3647263.3342058538</v>
      </c>
      <c r="L53" s="156">
        <v>1.022</v>
      </c>
      <c r="M53" s="118">
        <v>1.032</v>
      </c>
      <c r="N53" s="125">
        <f>103.72/103.23</f>
        <v>1.0047466821660369</v>
      </c>
      <c r="O53" s="117">
        <f>+J53*M53*N53*O$7</f>
        <v>31819.702324208356</v>
      </c>
      <c r="P53" s="116">
        <f>+K53*M53*N53*P$7</f>
        <v>75636.843150362052</v>
      </c>
      <c r="Q53" s="117">
        <f>(J53*M53*N53)+O53</f>
        <v>3213789.934745044</v>
      </c>
      <c r="R53" s="119">
        <f>(K53*M53*N53)+P53</f>
        <v>3857479.0006684642</v>
      </c>
    </row>
    <row r="54" spans="1:18" x14ac:dyDescent="0.3">
      <c r="A54" s="109">
        <v>2</v>
      </c>
      <c r="B54" s="124" t="s">
        <v>71</v>
      </c>
      <c r="C54" s="116">
        <f>5100000/1.1</f>
        <v>4636363.6363636358</v>
      </c>
      <c r="D54" s="117">
        <f>+C54*D$7</f>
        <v>69545.45454545453</v>
      </c>
      <c r="E54" s="116">
        <f>+C54*E$7</f>
        <v>231818.18181818179</v>
      </c>
      <c r="F54" s="117">
        <f>+C54*F$7</f>
        <v>0</v>
      </c>
      <c r="G54" s="116">
        <f>+C54*G$7</f>
        <v>463636.36363636359</v>
      </c>
      <c r="H54" s="117">
        <v>0</v>
      </c>
      <c r="I54" s="116">
        <f>'lãi suất NH'!F20</f>
        <v>261259.09090909085</v>
      </c>
      <c r="J54" s="117">
        <f>+F54+D54+C54+H54</f>
        <v>4705909.0909090899</v>
      </c>
      <c r="K54" s="116">
        <f>+C54+E54+G54+I54</f>
        <v>5593077.2727272715</v>
      </c>
      <c r="L54" s="156">
        <v>1.022</v>
      </c>
      <c r="M54" s="118">
        <v>1.032</v>
      </c>
      <c r="N54" s="125">
        <f>103.72/103.23</f>
        <v>1.0047466821660369</v>
      </c>
      <c r="O54" s="117">
        <f>+J54*M54*N54*O$7</f>
        <v>48795.50435127208</v>
      </c>
      <c r="P54" s="116">
        <f>+K54*M54*N54*P$7</f>
        <v>115989.07719045729</v>
      </c>
      <c r="Q54" s="117">
        <f>(J54*M54*N54)+O54</f>
        <v>4928345.9394784803</v>
      </c>
      <c r="R54" s="119">
        <f>(K54*M54*N54)+P54</f>
        <v>5915442.9367133211</v>
      </c>
    </row>
    <row r="56" spans="1:18" x14ac:dyDescent="0.3">
      <c r="C56" s="157" t="s">
        <v>68</v>
      </c>
      <c r="D56" s="157"/>
      <c r="E56" s="157"/>
      <c r="F56" s="157"/>
      <c r="G56" s="157"/>
      <c r="H56" s="157"/>
      <c r="I56" s="157"/>
      <c r="J56" s="157"/>
      <c r="K56" s="157"/>
      <c r="L56" s="157"/>
      <c r="M56" s="157"/>
      <c r="N56" s="157"/>
      <c r="O56" s="157"/>
      <c r="P56" s="157"/>
      <c r="Q56" s="157"/>
    </row>
    <row r="57" spans="1:18" x14ac:dyDescent="0.3">
      <c r="C57" s="27" t="s">
        <v>86</v>
      </c>
    </row>
    <row r="58" spans="1:18" x14ac:dyDescent="0.3">
      <c r="C58" s="27" t="s">
        <v>87</v>
      </c>
    </row>
    <row r="59" spans="1:18" x14ac:dyDescent="0.3">
      <c r="C59" s="27" t="s">
        <v>88</v>
      </c>
    </row>
    <row r="60" spans="1:18" x14ac:dyDescent="0.3">
      <c r="C60" s="27" t="s">
        <v>157</v>
      </c>
    </row>
  </sheetData>
  <mergeCells count="12">
    <mergeCell ref="C56:Q56"/>
    <mergeCell ref="A2:A6"/>
    <mergeCell ref="Q2:R2"/>
    <mergeCell ref="O2:P2"/>
    <mergeCell ref="B2:B6"/>
    <mergeCell ref="M2:M4"/>
    <mergeCell ref="N2:N4"/>
    <mergeCell ref="D2:E2"/>
    <mergeCell ref="F2:G2"/>
    <mergeCell ref="H2:I2"/>
    <mergeCell ref="J2:K2"/>
    <mergeCell ref="L2:L4"/>
  </mergeCells>
  <printOptions horizontalCentered="1"/>
  <pageMargins left="0.2" right="0.2" top="0.25" bottom="0.25" header="0.3" footer="0.3"/>
  <pageSetup paperSize="9" orientation="landscape"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65AE56-9230-43D7-8714-8261E7DD7E26}">
  <dimension ref="A2:N102"/>
  <sheetViews>
    <sheetView topLeftCell="A55" workbookViewId="0">
      <selection activeCell="O11" sqref="O11"/>
    </sheetView>
  </sheetViews>
  <sheetFormatPr defaultRowHeight="14.4" x14ac:dyDescent="0.3"/>
  <cols>
    <col min="2" max="2" width="22.109375" customWidth="1"/>
    <col min="10" max="10" width="26" customWidth="1"/>
  </cols>
  <sheetData>
    <row r="2" spans="1:14" x14ac:dyDescent="0.3">
      <c r="A2" s="161" t="s">
        <v>154</v>
      </c>
      <c r="B2" s="161"/>
      <c r="C2" s="161"/>
      <c r="D2" s="161"/>
      <c r="E2" s="161"/>
      <c r="G2" s="162" t="s">
        <v>156</v>
      </c>
      <c r="I2" s="161" t="s">
        <v>155</v>
      </c>
      <c r="J2" s="161"/>
      <c r="K2" s="161"/>
      <c r="L2" s="161"/>
      <c r="M2" s="161"/>
      <c r="N2" s="161"/>
    </row>
    <row r="3" spans="1:14" x14ac:dyDescent="0.3">
      <c r="G3" s="162"/>
    </row>
    <row r="4" spans="1:14" x14ac:dyDescent="0.3">
      <c r="A4" s="130"/>
      <c r="B4" s="131" t="s">
        <v>90</v>
      </c>
      <c r="C4" s="131" t="s">
        <v>91</v>
      </c>
      <c r="D4" s="160" t="s">
        <v>92</v>
      </c>
      <c r="E4" s="160"/>
      <c r="F4" s="132"/>
      <c r="G4" s="162"/>
    </row>
    <row r="5" spans="1:14" ht="26.4" x14ac:dyDescent="0.3">
      <c r="A5" s="133" t="s">
        <v>93</v>
      </c>
      <c r="B5" s="133" t="s">
        <v>94</v>
      </c>
      <c r="C5" s="134">
        <v>7780</v>
      </c>
      <c r="D5" s="135">
        <v>6614</v>
      </c>
      <c r="E5" s="136">
        <v>373</v>
      </c>
      <c r="F5" s="132"/>
      <c r="G5" s="2">
        <f t="shared" ref="G5:G36" si="0">C5/K5</f>
        <v>1056.2041813738801</v>
      </c>
      <c r="I5" s="137">
        <v>11110.01</v>
      </c>
      <c r="J5" s="137" t="s">
        <v>95</v>
      </c>
      <c r="K5" s="138">
        <v>7.3659999999999997</v>
      </c>
      <c r="L5" s="139">
        <v>6.2249999999999996</v>
      </c>
      <c r="M5" s="139">
        <v>365</v>
      </c>
      <c r="N5" s="130"/>
    </row>
    <row r="6" spans="1:14" x14ac:dyDescent="0.3">
      <c r="A6" s="140"/>
      <c r="B6" s="133" t="s">
        <v>96</v>
      </c>
      <c r="C6" s="134">
        <v>9095</v>
      </c>
      <c r="D6" s="135">
        <v>7732</v>
      </c>
      <c r="E6" s="136">
        <v>436</v>
      </c>
      <c r="F6" s="132"/>
      <c r="G6" s="2">
        <f t="shared" si="0"/>
        <v>1056.2071768667981</v>
      </c>
      <c r="I6" s="141"/>
      <c r="J6" s="137" t="s">
        <v>97</v>
      </c>
      <c r="K6" s="138">
        <v>8.6110000000000007</v>
      </c>
      <c r="L6" s="139">
        <v>7.2779999999999996</v>
      </c>
      <c r="M6" s="139">
        <v>426</v>
      </c>
      <c r="N6" s="130"/>
    </row>
    <row r="7" spans="1:14" x14ac:dyDescent="0.3">
      <c r="A7" s="140"/>
      <c r="B7" s="133" t="s">
        <v>98</v>
      </c>
      <c r="C7" s="134">
        <v>10261</v>
      </c>
      <c r="D7" s="135">
        <v>8723</v>
      </c>
      <c r="E7" s="136">
        <v>492</v>
      </c>
      <c r="F7" s="132"/>
      <c r="G7" s="2">
        <f t="shared" si="0"/>
        <v>1056.201749871333</v>
      </c>
      <c r="I7" s="141"/>
      <c r="J7" s="137" t="s">
        <v>98</v>
      </c>
      <c r="K7" s="138">
        <v>9.7149999999999999</v>
      </c>
      <c r="L7" s="139">
        <v>8.2110000000000003</v>
      </c>
      <c r="M7" s="139">
        <v>481</v>
      </c>
      <c r="N7" s="130"/>
    </row>
    <row r="8" spans="1:14" x14ac:dyDescent="0.3">
      <c r="A8" s="140"/>
      <c r="B8" s="133" t="s">
        <v>99</v>
      </c>
      <c r="C8" s="134">
        <v>11469</v>
      </c>
      <c r="D8" s="135">
        <v>9752</v>
      </c>
      <c r="E8" s="136">
        <v>550</v>
      </c>
      <c r="F8" s="132"/>
      <c r="G8" s="2">
        <f t="shared" si="0"/>
        <v>1056.1746017128648</v>
      </c>
      <c r="I8" s="141"/>
      <c r="J8" s="137" t="s">
        <v>99</v>
      </c>
      <c r="K8" s="138">
        <v>10.859</v>
      </c>
      <c r="L8" s="139">
        <v>9.1780000000000008</v>
      </c>
      <c r="M8" s="139">
        <v>538</v>
      </c>
      <c r="N8" s="130"/>
    </row>
    <row r="9" spans="1:14" x14ac:dyDescent="0.3">
      <c r="A9" s="140"/>
      <c r="B9" s="133" t="s">
        <v>100</v>
      </c>
      <c r="C9" s="134">
        <v>12667</v>
      </c>
      <c r="D9" s="135">
        <v>10769</v>
      </c>
      <c r="E9" s="136">
        <v>607</v>
      </c>
      <c r="F9" s="132"/>
      <c r="G9" s="2">
        <f t="shared" si="0"/>
        <v>1056.1994496789794</v>
      </c>
      <c r="I9" s="141"/>
      <c r="J9" s="137" t="s">
        <v>100</v>
      </c>
      <c r="K9" s="138">
        <v>11.993</v>
      </c>
      <c r="L9" s="139">
        <v>10.135999999999999</v>
      </c>
      <c r="M9" s="139">
        <v>594</v>
      </c>
      <c r="N9" s="130"/>
    </row>
    <row r="10" spans="1:14" x14ac:dyDescent="0.3">
      <c r="A10" s="140"/>
      <c r="B10" s="133" t="s">
        <v>101</v>
      </c>
      <c r="C10" s="134">
        <v>13856</v>
      </c>
      <c r="D10" s="135">
        <v>11779</v>
      </c>
      <c r="E10" s="136">
        <v>664</v>
      </c>
      <c r="F10" s="132"/>
      <c r="G10" s="2">
        <f t="shared" si="0"/>
        <v>1056.1780623523134</v>
      </c>
      <c r="I10" s="141"/>
      <c r="J10" s="137" t="s">
        <v>101</v>
      </c>
      <c r="K10" s="138">
        <v>13.119</v>
      </c>
      <c r="L10" s="139">
        <v>11.087</v>
      </c>
      <c r="M10" s="139">
        <v>649</v>
      </c>
      <c r="N10" s="130"/>
    </row>
    <row r="11" spans="1:14" ht="26.4" x14ac:dyDescent="0.3">
      <c r="A11" s="133" t="s">
        <v>102</v>
      </c>
      <c r="B11" s="133" t="s">
        <v>103</v>
      </c>
      <c r="C11" s="134">
        <v>10023</v>
      </c>
      <c r="D11" s="135">
        <v>7879</v>
      </c>
      <c r="E11" s="136">
        <v>671</v>
      </c>
      <c r="F11" s="132"/>
      <c r="G11" s="2">
        <f t="shared" si="0"/>
        <v>1053.5001051082616</v>
      </c>
      <c r="I11" s="137">
        <v>11110.02</v>
      </c>
      <c r="J11" s="137" t="s">
        <v>104</v>
      </c>
      <c r="K11" s="138">
        <v>9.5139999999999993</v>
      </c>
      <c r="L11" s="139">
        <v>7.4160000000000004</v>
      </c>
      <c r="M11" s="139">
        <v>657</v>
      </c>
      <c r="N11" s="130"/>
    </row>
    <row r="12" spans="1:14" x14ac:dyDescent="0.3">
      <c r="A12" s="140"/>
      <c r="B12" s="133" t="s">
        <v>97</v>
      </c>
      <c r="C12" s="134">
        <v>10720</v>
      </c>
      <c r="D12" s="135">
        <v>8426</v>
      </c>
      <c r="E12" s="136">
        <v>719</v>
      </c>
      <c r="F12" s="132"/>
      <c r="G12" s="2">
        <f t="shared" si="0"/>
        <v>1053.4591194968552</v>
      </c>
      <c r="I12" s="141"/>
      <c r="J12" s="137" t="s">
        <v>97</v>
      </c>
      <c r="K12" s="138">
        <v>10.176</v>
      </c>
      <c r="L12" s="139">
        <v>7.931</v>
      </c>
      <c r="M12" s="139">
        <v>703</v>
      </c>
      <c r="N12" s="130"/>
    </row>
    <row r="13" spans="1:14" x14ac:dyDescent="0.3">
      <c r="A13" s="140"/>
      <c r="B13" s="133" t="s">
        <v>98</v>
      </c>
      <c r="C13" s="134">
        <v>11438</v>
      </c>
      <c r="D13" s="135">
        <v>8992</v>
      </c>
      <c r="E13" s="136">
        <v>767</v>
      </c>
      <c r="F13" s="132"/>
      <c r="G13" s="2">
        <f t="shared" si="0"/>
        <v>1053.5138620245004</v>
      </c>
      <c r="I13" s="141"/>
      <c r="J13" s="137" t="s">
        <v>98</v>
      </c>
      <c r="K13" s="138">
        <v>10.856999999999999</v>
      </c>
      <c r="L13" s="139">
        <v>8.4629999999999992</v>
      </c>
      <c r="M13" s="139">
        <v>750</v>
      </c>
      <c r="N13" s="130"/>
    </row>
    <row r="14" spans="1:14" x14ac:dyDescent="0.3">
      <c r="A14" s="140"/>
      <c r="B14" s="133" t="s">
        <v>99</v>
      </c>
      <c r="C14" s="134">
        <v>12278</v>
      </c>
      <c r="D14" s="135">
        <v>9652</v>
      </c>
      <c r="E14" s="136">
        <v>822</v>
      </c>
      <c r="F14" s="132"/>
      <c r="G14" s="2">
        <f t="shared" si="0"/>
        <v>1053.4534534534534</v>
      </c>
      <c r="I14" s="141"/>
      <c r="J14" s="137" t="s">
        <v>99</v>
      </c>
      <c r="K14" s="138">
        <v>11.654999999999999</v>
      </c>
      <c r="L14" s="139">
        <v>9.0850000000000009</v>
      </c>
      <c r="M14" s="139">
        <v>804</v>
      </c>
      <c r="N14" s="130"/>
    </row>
    <row r="15" spans="1:14" x14ac:dyDescent="0.3">
      <c r="A15" s="140"/>
      <c r="B15" s="133" t="s">
        <v>100</v>
      </c>
      <c r="C15" s="134">
        <v>13176</v>
      </c>
      <c r="D15" s="135">
        <v>10357</v>
      </c>
      <c r="E15" s="136">
        <v>882</v>
      </c>
      <c r="F15" s="132"/>
      <c r="G15" s="2">
        <f t="shared" si="0"/>
        <v>1053.4900455744782</v>
      </c>
      <c r="I15" s="141"/>
      <c r="J15" s="137" t="s">
        <v>105</v>
      </c>
      <c r="K15" s="138">
        <v>12.507</v>
      </c>
      <c r="L15" s="139">
        <v>9.7479999999999993</v>
      </c>
      <c r="M15" s="139">
        <v>863</v>
      </c>
      <c r="N15" s="130"/>
    </row>
    <row r="16" spans="1:14" x14ac:dyDescent="0.3">
      <c r="A16" s="140"/>
      <c r="B16" s="133" t="s">
        <v>101</v>
      </c>
      <c r="C16" s="134">
        <v>14114</v>
      </c>
      <c r="D16" s="135">
        <v>11095</v>
      </c>
      <c r="E16" s="136">
        <v>946</v>
      </c>
      <c r="F16" s="132"/>
      <c r="G16" s="2">
        <f t="shared" si="0"/>
        <v>1053.4408120615017</v>
      </c>
      <c r="I16" s="141"/>
      <c r="J16" s="137" t="s">
        <v>101</v>
      </c>
      <c r="K16" s="138">
        <v>13.398</v>
      </c>
      <c r="L16" s="139">
        <v>10.443</v>
      </c>
      <c r="M16" s="139">
        <v>925</v>
      </c>
      <c r="N16" s="130"/>
    </row>
    <row r="17" spans="1:14" ht="26.4" x14ac:dyDescent="0.3">
      <c r="A17" s="133" t="s">
        <v>106</v>
      </c>
      <c r="B17" s="133" t="s">
        <v>107</v>
      </c>
      <c r="C17" s="134">
        <v>10326</v>
      </c>
      <c r="D17" s="135">
        <v>8246</v>
      </c>
      <c r="E17" s="136">
        <v>704</v>
      </c>
      <c r="F17" s="132"/>
      <c r="G17" s="2">
        <f t="shared" si="0"/>
        <v>1053.9961212616106</v>
      </c>
      <c r="I17" s="137">
        <v>11110.03</v>
      </c>
      <c r="J17" s="137" t="s">
        <v>108</v>
      </c>
      <c r="K17" s="138">
        <v>9.7970000000000006</v>
      </c>
      <c r="L17" s="139">
        <v>7.7610000000000001</v>
      </c>
      <c r="M17" s="139">
        <v>688</v>
      </c>
      <c r="N17" s="130"/>
    </row>
    <row r="18" spans="1:14" x14ac:dyDescent="0.3">
      <c r="A18" s="140"/>
      <c r="B18" s="133" t="s">
        <v>97</v>
      </c>
      <c r="C18" s="134">
        <v>10806</v>
      </c>
      <c r="D18" s="135">
        <v>8628</v>
      </c>
      <c r="E18" s="136">
        <v>736</v>
      </c>
      <c r="F18" s="132"/>
      <c r="G18" s="2">
        <f t="shared" si="0"/>
        <v>1054.0382364416698</v>
      </c>
      <c r="I18" s="141"/>
      <c r="J18" s="137" t="s">
        <v>97</v>
      </c>
      <c r="K18" s="138">
        <v>10.252000000000001</v>
      </c>
      <c r="L18" s="139">
        <v>8.1210000000000004</v>
      </c>
      <c r="M18" s="139">
        <v>720</v>
      </c>
      <c r="N18" s="130"/>
    </row>
    <row r="19" spans="1:14" x14ac:dyDescent="0.3">
      <c r="A19" s="140"/>
      <c r="B19" s="133" t="s">
        <v>109</v>
      </c>
      <c r="C19" s="134">
        <v>11339</v>
      </c>
      <c r="D19" s="135">
        <v>9053</v>
      </c>
      <c r="E19" s="136">
        <v>772</v>
      </c>
      <c r="F19" s="132"/>
      <c r="G19" s="2">
        <f t="shared" si="0"/>
        <v>1054.0063208774866</v>
      </c>
      <c r="I19" s="141"/>
      <c r="J19" s="137" t="s">
        <v>98</v>
      </c>
      <c r="K19" s="138">
        <v>10.757999999999999</v>
      </c>
      <c r="L19" s="139">
        <v>8.5210000000000008</v>
      </c>
      <c r="M19" s="139">
        <v>755</v>
      </c>
      <c r="N19" s="130"/>
    </row>
    <row r="20" spans="1:14" x14ac:dyDescent="0.3">
      <c r="A20" s="140"/>
      <c r="B20" s="133" t="s">
        <v>99</v>
      </c>
      <c r="C20" s="134">
        <v>11993</v>
      </c>
      <c r="D20" s="135">
        <v>9576</v>
      </c>
      <c r="E20" s="136">
        <v>817</v>
      </c>
      <c r="F20" s="132"/>
      <c r="G20" s="2">
        <f t="shared" si="0"/>
        <v>1054.0516786781509</v>
      </c>
      <c r="I20" s="141"/>
      <c r="J20" s="137" t="s">
        <v>99</v>
      </c>
      <c r="K20" s="138">
        <v>11.378</v>
      </c>
      <c r="L20" s="139">
        <v>9.0129999999999999</v>
      </c>
      <c r="M20" s="139">
        <v>799</v>
      </c>
      <c r="N20" s="130"/>
    </row>
    <row r="21" spans="1:14" x14ac:dyDescent="0.3">
      <c r="A21" s="140"/>
      <c r="B21" s="133" t="s">
        <v>100</v>
      </c>
      <c r="C21" s="134">
        <v>12719</v>
      </c>
      <c r="D21" s="135">
        <v>10156</v>
      </c>
      <c r="E21" s="136">
        <v>866</v>
      </c>
      <c r="F21" s="132"/>
      <c r="G21" s="2">
        <f t="shared" si="0"/>
        <v>1054.0316565840722</v>
      </c>
      <c r="I21" s="141"/>
      <c r="J21" s="137" t="s">
        <v>100</v>
      </c>
      <c r="K21" s="138">
        <v>12.067</v>
      </c>
      <c r="L21" s="139">
        <v>9.5589999999999993</v>
      </c>
      <c r="M21" s="139">
        <v>847</v>
      </c>
      <c r="N21" s="130"/>
    </row>
    <row r="22" spans="1:14" x14ac:dyDescent="0.3">
      <c r="A22" s="140"/>
      <c r="B22" s="133" t="s">
        <v>101</v>
      </c>
      <c r="C22" s="134">
        <v>13501</v>
      </c>
      <c r="D22" s="135">
        <v>10780</v>
      </c>
      <c r="E22" s="136">
        <v>920</v>
      </c>
      <c r="F22" s="132"/>
      <c r="G22" s="2">
        <f t="shared" si="0"/>
        <v>1054.0245140135842</v>
      </c>
      <c r="I22" s="141"/>
      <c r="J22" s="137" t="s">
        <v>101</v>
      </c>
      <c r="K22" s="138">
        <v>12.808999999999999</v>
      </c>
      <c r="L22" s="139">
        <v>10.146000000000001</v>
      </c>
      <c r="M22" s="139">
        <v>900</v>
      </c>
      <c r="N22" s="130"/>
    </row>
    <row r="23" spans="1:14" ht="26.4" x14ac:dyDescent="0.3">
      <c r="A23" s="133" t="s">
        <v>110</v>
      </c>
      <c r="B23" s="133" t="s">
        <v>111</v>
      </c>
      <c r="C23" s="134">
        <v>10817</v>
      </c>
      <c r="D23" s="135">
        <v>8815</v>
      </c>
      <c r="E23" s="136">
        <v>704</v>
      </c>
      <c r="F23" s="132"/>
      <c r="G23" s="2">
        <f t="shared" si="0"/>
        <v>1054.6996879875194</v>
      </c>
      <c r="I23" s="137">
        <v>11110.04</v>
      </c>
      <c r="J23" s="137" t="s">
        <v>112</v>
      </c>
      <c r="K23" s="138">
        <v>10.256</v>
      </c>
      <c r="L23" s="139">
        <v>8.2970000000000006</v>
      </c>
      <c r="M23" s="139">
        <v>688</v>
      </c>
      <c r="N23" s="130"/>
    </row>
    <row r="24" spans="1:14" x14ac:dyDescent="0.3">
      <c r="A24" s="140"/>
      <c r="B24" s="133" t="s">
        <v>97</v>
      </c>
      <c r="C24" s="134">
        <v>11126</v>
      </c>
      <c r="D24" s="135">
        <v>9067</v>
      </c>
      <c r="E24" s="136">
        <v>724</v>
      </c>
      <c r="F24" s="132"/>
      <c r="G24" s="2">
        <f t="shared" si="0"/>
        <v>1054.6971276898284</v>
      </c>
      <c r="I24" s="141"/>
      <c r="J24" s="137" t="s">
        <v>97</v>
      </c>
      <c r="K24" s="138">
        <v>10.548999999999999</v>
      </c>
      <c r="L24" s="139">
        <v>8.5340000000000007</v>
      </c>
      <c r="M24" s="139">
        <v>708</v>
      </c>
      <c r="N24" s="130"/>
    </row>
    <row r="25" spans="1:14" x14ac:dyDescent="0.3">
      <c r="A25" s="140"/>
      <c r="B25" s="133" t="s">
        <v>98</v>
      </c>
      <c r="C25" s="134">
        <v>11494</v>
      </c>
      <c r="D25" s="135">
        <v>9367</v>
      </c>
      <c r="E25" s="136">
        <v>747</v>
      </c>
      <c r="F25" s="132"/>
      <c r="G25" s="2">
        <f t="shared" si="0"/>
        <v>1054.6889337493119</v>
      </c>
      <c r="I25" s="141"/>
      <c r="J25" s="137" t="s">
        <v>98</v>
      </c>
      <c r="K25" s="138">
        <v>10.898</v>
      </c>
      <c r="L25" s="139">
        <v>8.8160000000000007</v>
      </c>
      <c r="M25" s="139">
        <v>731</v>
      </c>
      <c r="N25" s="130"/>
    </row>
    <row r="26" spans="1:14" x14ac:dyDescent="0.3">
      <c r="A26" s="140"/>
      <c r="B26" s="133" t="s">
        <v>99</v>
      </c>
      <c r="C26" s="134">
        <v>11971</v>
      </c>
      <c r="D26" s="135">
        <v>9755</v>
      </c>
      <c r="E26" s="136">
        <v>779</v>
      </c>
      <c r="F26" s="132"/>
      <c r="G26" s="2">
        <f t="shared" si="0"/>
        <v>1054.7136563876652</v>
      </c>
      <c r="I26" s="141"/>
      <c r="J26" s="137" t="s">
        <v>99</v>
      </c>
      <c r="K26" s="138">
        <v>11.35</v>
      </c>
      <c r="L26" s="139">
        <v>9.1820000000000004</v>
      </c>
      <c r="M26" s="139">
        <v>762</v>
      </c>
      <c r="N26" s="130"/>
    </row>
    <row r="27" spans="1:14" x14ac:dyDescent="0.3">
      <c r="A27" s="140"/>
      <c r="B27" s="133" t="s">
        <v>100</v>
      </c>
      <c r="C27" s="134">
        <v>12519</v>
      </c>
      <c r="D27" s="135">
        <v>10203</v>
      </c>
      <c r="E27" s="136">
        <v>814</v>
      </c>
      <c r="F27" s="132"/>
      <c r="G27" s="2">
        <f t="shared" si="0"/>
        <v>1054.6756529064869</v>
      </c>
      <c r="I27" s="141"/>
      <c r="J27" s="137" t="s">
        <v>100</v>
      </c>
      <c r="K27" s="138">
        <v>11.87</v>
      </c>
      <c r="L27" s="139">
        <v>9.6029999999999998</v>
      </c>
      <c r="M27" s="139">
        <v>796</v>
      </c>
      <c r="N27" s="130"/>
    </row>
    <row r="28" spans="1:14" x14ac:dyDescent="0.3">
      <c r="A28" s="140"/>
      <c r="B28" s="133" t="s">
        <v>101</v>
      </c>
      <c r="C28" s="134">
        <v>13130</v>
      </c>
      <c r="D28" s="135">
        <v>10699</v>
      </c>
      <c r="E28" s="136">
        <v>853</v>
      </c>
      <c r="F28" s="132"/>
      <c r="G28" s="2">
        <f t="shared" si="0"/>
        <v>1054.7031890111655</v>
      </c>
      <c r="I28" s="141"/>
      <c r="J28" s="137" t="s">
        <v>101</v>
      </c>
      <c r="K28" s="138">
        <v>12.449</v>
      </c>
      <c r="L28" s="139">
        <v>10.071</v>
      </c>
      <c r="M28" s="139">
        <v>835</v>
      </c>
      <c r="N28" s="130"/>
    </row>
    <row r="29" spans="1:14" ht="26.4" x14ac:dyDescent="0.3">
      <c r="A29" s="133" t="s">
        <v>113</v>
      </c>
      <c r="B29" s="133" t="s">
        <v>114</v>
      </c>
      <c r="C29" s="134">
        <v>12050</v>
      </c>
      <c r="D29" s="135">
        <v>9283</v>
      </c>
      <c r="E29" s="136">
        <v>960</v>
      </c>
      <c r="F29" s="132"/>
      <c r="G29" s="2">
        <f t="shared" si="0"/>
        <v>1052.7695264721301</v>
      </c>
      <c r="I29" s="137">
        <v>11110.05</v>
      </c>
      <c r="J29" s="137" t="s">
        <v>115</v>
      </c>
      <c r="K29" s="138">
        <v>11.446</v>
      </c>
      <c r="L29" s="139">
        <v>8.7370000000000001</v>
      </c>
      <c r="M29" s="139">
        <v>939</v>
      </c>
      <c r="N29" s="130"/>
    </row>
    <row r="30" spans="1:14" x14ac:dyDescent="0.3">
      <c r="A30" s="140"/>
      <c r="B30" s="133" t="s">
        <v>97</v>
      </c>
      <c r="C30" s="134">
        <v>12225</v>
      </c>
      <c r="D30" s="135">
        <v>9417</v>
      </c>
      <c r="E30" s="136">
        <v>973</v>
      </c>
      <c r="F30" s="132"/>
      <c r="G30" s="2">
        <f t="shared" si="0"/>
        <v>1052.7902170168791</v>
      </c>
      <c r="I30" s="141"/>
      <c r="J30" s="137" t="s">
        <v>97</v>
      </c>
      <c r="K30" s="138">
        <v>11.612</v>
      </c>
      <c r="L30" s="139">
        <v>8.8640000000000008</v>
      </c>
      <c r="M30" s="139">
        <v>952</v>
      </c>
      <c r="N30" s="130"/>
    </row>
    <row r="31" spans="1:14" x14ac:dyDescent="0.3">
      <c r="A31" s="140"/>
      <c r="B31" s="133" t="s">
        <v>98</v>
      </c>
      <c r="C31" s="134">
        <v>12458</v>
      </c>
      <c r="D31" s="135">
        <v>9597</v>
      </c>
      <c r="E31" s="136">
        <v>992</v>
      </c>
      <c r="F31" s="132"/>
      <c r="G31" s="2">
        <f t="shared" si="0"/>
        <v>1052.9073698444895</v>
      </c>
      <c r="I31" s="141"/>
      <c r="J31" s="137" t="s">
        <v>98</v>
      </c>
      <c r="K31" s="138">
        <v>11.832000000000001</v>
      </c>
      <c r="L31" s="139">
        <v>9.032</v>
      </c>
      <c r="M31" s="139">
        <v>970</v>
      </c>
      <c r="N31" s="130"/>
    </row>
    <row r="32" spans="1:14" x14ac:dyDescent="0.3">
      <c r="A32" s="140"/>
      <c r="B32" s="133" t="s">
        <v>99</v>
      </c>
      <c r="C32" s="134">
        <v>12786</v>
      </c>
      <c r="D32" s="135">
        <v>9849</v>
      </c>
      <c r="E32" s="135">
        <v>1017</v>
      </c>
      <c r="F32" s="132"/>
      <c r="G32" s="2">
        <f t="shared" si="0"/>
        <v>1052.8656126482213</v>
      </c>
      <c r="I32" s="141"/>
      <c r="J32" s="137" t="s">
        <v>99</v>
      </c>
      <c r="K32" s="138">
        <v>12.144</v>
      </c>
      <c r="L32" s="139">
        <v>9.27</v>
      </c>
      <c r="M32" s="139">
        <v>995</v>
      </c>
      <c r="N32" s="130"/>
    </row>
    <row r="33" spans="1:14" x14ac:dyDescent="0.3">
      <c r="A33" s="140"/>
      <c r="B33" s="133" t="s">
        <v>100</v>
      </c>
      <c r="C33" s="134">
        <v>13183</v>
      </c>
      <c r="D33" s="135">
        <v>10155</v>
      </c>
      <c r="E33" s="135">
        <v>1049</v>
      </c>
      <c r="F33" s="132"/>
      <c r="G33" s="2">
        <f t="shared" si="0"/>
        <v>1052.8711764236082</v>
      </c>
      <c r="I33" s="141"/>
      <c r="J33" s="137" t="s">
        <v>100</v>
      </c>
      <c r="K33" s="138">
        <v>12.521000000000001</v>
      </c>
      <c r="L33" s="139">
        <v>9.5579999999999998</v>
      </c>
      <c r="M33" s="139">
        <v>1.0269999999999999</v>
      </c>
      <c r="N33" s="130"/>
    </row>
    <row r="34" spans="1:14" x14ac:dyDescent="0.3">
      <c r="A34" s="140"/>
      <c r="B34" s="133" t="s">
        <v>101</v>
      </c>
      <c r="C34" s="134">
        <v>13641</v>
      </c>
      <c r="D34" s="135">
        <v>10508</v>
      </c>
      <c r="E34" s="135">
        <v>1086</v>
      </c>
      <c r="F34" s="132"/>
      <c r="G34" s="2">
        <f t="shared" si="0"/>
        <v>1052.871256560667</v>
      </c>
      <c r="I34" s="141"/>
      <c r="J34" s="137" t="s">
        <v>101</v>
      </c>
      <c r="K34" s="138">
        <v>12.956</v>
      </c>
      <c r="L34" s="139">
        <v>9.891</v>
      </c>
      <c r="M34" s="139">
        <v>1.0620000000000001</v>
      </c>
      <c r="N34" s="130"/>
    </row>
    <row r="35" spans="1:14" ht="26.4" x14ac:dyDescent="0.3">
      <c r="A35" s="133" t="s">
        <v>116</v>
      </c>
      <c r="B35" s="133" t="s">
        <v>117</v>
      </c>
      <c r="C35" s="134">
        <v>13407</v>
      </c>
      <c r="D35" s="135">
        <v>10345</v>
      </c>
      <c r="E35" s="135">
        <v>1268</v>
      </c>
      <c r="F35" s="132"/>
      <c r="G35" s="2">
        <f t="shared" si="0"/>
        <v>1052.933322861855</v>
      </c>
      <c r="I35" s="137">
        <v>11110.07</v>
      </c>
      <c r="J35" s="137" t="s">
        <v>118</v>
      </c>
      <c r="K35" s="138">
        <v>12.733000000000001</v>
      </c>
      <c r="L35" s="139">
        <v>9.7370000000000001</v>
      </c>
      <c r="M35" s="139">
        <v>1.24</v>
      </c>
      <c r="N35" s="130"/>
    </row>
    <row r="36" spans="1:14" x14ac:dyDescent="0.3">
      <c r="A36" s="140"/>
      <c r="B36" s="133" t="s">
        <v>97</v>
      </c>
      <c r="C36" s="134">
        <v>13509</v>
      </c>
      <c r="D36" s="135">
        <v>10423</v>
      </c>
      <c r="E36" s="135">
        <v>1278</v>
      </c>
      <c r="F36" s="132"/>
      <c r="G36" s="2">
        <f t="shared" si="0"/>
        <v>1052.9228371005456</v>
      </c>
      <c r="I36" s="141"/>
      <c r="J36" s="137" t="s">
        <v>97</v>
      </c>
      <c r="K36" s="138">
        <v>12.83</v>
      </c>
      <c r="L36" s="139">
        <v>9.81</v>
      </c>
      <c r="M36" s="139">
        <v>1.25</v>
      </c>
      <c r="N36" s="130"/>
    </row>
    <row r="37" spans="1:14" x14ac:dyDescent="0.3">
      <c r="A37" s="140"/>
      <c r="B37" s="133" t="s">
        <v>109</v>
      </c>
      <c r="C37" s="134">
        <v>13664</v>
      </c>
      <c r="D37" s="135">
        <v>10543</v>
      </c>
      <c r="E37" s="135">
        <v>1293</v>
      </c>
      <c r="F37" s="132"/>
      <c r="G37" s="2">
        <f t="shared" ref="G37:G70" si="1">C37/K37</f>
        <v>1052.8586839266452</v>
      </c>
      <c r="I37" s="141"/>
      <c r="J37" s="137" t="s">
        <v>98</v>
      </c>
      <c r="K37" s="138">
        <v>12.978</v>
      </c>
      <c r="L37" s="139">
        <v>9.923</v>
      </c>
      <c r="M37" s="139">
        <v>1.264</v>
      </c>
      <c r="N37" s="130"/>
    </row>
    <row r="38" spans="1:14" x14ac:dyDescent="0.3">
      <c r="A38" s="140"/>
      <c r="B38" s="133" t="s">
        <v>99</v>
      </c>
      <c r="C38" s="134">
        <v>13909</v>
      </c>
      <c r="D38" s="135">
        <v>10732</v>
      </c>
      <c r="E38" s="135">
        <v>1316</v>
      </c>
      <c r="F38" s="132"/>
      <c r="G38" s="2">
        <f t="shared" si="1"/>
        <v>1052.9144587433761</v>
      </c>
      <c r="I38" s="141"/>
      <c r="J38" s="137" t="s">
        <v>99</v>
      </c>
      <c r="K38" s="138">
        <v>13.21</v>
      </c>
      <c r="L38" s="139">
        <v>10.101000000000001</v>
      </c>
      <c r="M38" s="139">
        <v>1.2869999999999999</v>
      </c>
      <c r="N38" s="130"/>
    </row>
    <row r="39" spans="1:14" x14ac:dyDescent="0.3">
      <c r="A39" s="140"/>
      <c r="B39" s="133" t="s">
        <v>100</v>
      </c>
      <c r="C39" s="134">
        <v>14220</v>
      </c>
      <c r="D39" s="135">
        <v>10972</v>
      </c>
      <c r="E39" s="135">
        <v>1345</v>
      </c>
      <c r="F39" s="132"/>
      <c r="G39" s="2">
        <f t="shared" si="1"/>
        <v>1052.9433543132172</v>
      </c>
      <c r="I39" s="141"/>
      <c r="J39" s="137" t="s">
        <v>100</v>
      </c>
      <c r="K39" s="138">
        <v>13.505000000000001</v>
      </c>
      <c r="L39" s="139">
        <v>10.327</v>
      </c>
      <c r="M39" s="139">
        <v>1.3160000000000001</v>
      </c>
      <c r="N39" s="130"/>
    </row>
    <row r="40" spans="1:14" x14ac:dyDescent="0.3">
      <c r="A40" s="140"/>
      <c r="B40" s="133" t="s">
        <v>101</v>
      </c>
      <c r="C40" s="134">
        <v>14590</v>
      </c>
      <c r="D40" s="135">
        <v>11259</v>
      </c>
      <c r="E40" s="135">
        <v>1380</v>
      </c>
      <c r="F40" s="132"/>
      <c r="G40" s="2">
        <f t="shared" si="1"/>
        <v>1052.8974525510573</v>
      </c>
      <c r="I40" s="141"/>
      <c r="J40" s="137" t="s">
        <v>101</v>
      </c>
      <c r="K40" s="138">
        <v>13.856999999999999</v>
      </c>
      <c r="L40" s="139">
        <v>10.597</v>
      </c>
      <c r="M40" s="139">
        <v>1.35</v>
      </c>
      <c r="N40" s="130"/>
    </row>
    <row r="41" spans="1:14" ht="26.4" x14ac:dyDescent="0.3">
      <c r="A41" s="133" t="s">
        <v>119</v>
      </c>
      <c r="B41" s="133" t="s">
        <v>120</v>
      </c>
      <c r="C41" s="134">
        <v>14077</v>
      </c>
      <c r="D41" s="135">
        <v>10864</v>
      </c>
      <c r="E41" s="135">
        <v>1332</v>
      </c>
      <c r="F41" s="132"/>
      <c r="G41" s="2">
        <f t="shared" si="1"/>
        <v>1052.8795811518326</v>
      </c>
      <c r="I41" s="137">
        <v>11110.08</v>
      </c>
      <c r="J41" s="137" t="s">
        <v>121</v>
      </c>
      <c r="K41" s="138">
        <v>13.37</v>
      </c>
      <c r="L41" s="139">
        <v>10.226000000000001</v>
      </c>
      <c r="M41" s="139">
        <v>1.3029999999999999</v>
      </c>
      <c r="N41" s="130"/>
    </row>
    <row r="42" spans="1:14" x14ac:dyDescent="0.3">
      <c r="A42" s="140"/>
      <c r="B42" s="133" t="s">
        <v>97</v>
      </c>
      <c r="C42" s="134">
        <v>14136</v>
      </c>
      <c r="D42" s="135">
        <v>10910</v>
      </c>
      <c r="E42" s="135">
        <v>1338</v>
      </c>
      <c r="F42" s="132"/>
      <c r="G42" s="2">
        <f t="shared" si="1"/>
        <v>1052.8824668553552</v>
      </c>
      <c r="I42" s="141"/>
      <c r="J42" s="137" t="s">
        <v>97</v>
      </c>
      <c r="K42" s="138">
        <v>13.426</v>
      </c>
      <c r="L42" s="139">
        <v>10.269</v>
      </c>
      <c r="M42" s="139">
        <v>1.3080000000000001</v>
      </c>
      <c r="N42" s="130"/>
    </row>
    <row r="43" spans="1:14" x14ac:dyDescent="0.3">
      <c r="A43" s="140"/>
      <c r="B43" s="133" t="s">
        <v>98</v>
      </c>
      <c r="C43" s="134">
        <v>14243</v>
      </c>
      <c r="D43" s="135">
        <v>10992</v>
      </c>
      <c r="E43" s="135">
        <v>1348</v>
      </c>
      <c r="F43" s="132"/>
      <c r="G43" s="2">
        <f t="shared" si="1"/>
        <v>1052.9311746876617</v>
      </c>
      <c r="I43" s="141"/>
      <c r="J43" s="137" t="s">
        <v>98</v>
      </c>
      <c r="K43" s="138">
        <v>13.526999999999999</v>
      </c>
      <c r="L43" s="139">
        <v>10.346</v>
      </c>
      <c r="M43" s="139">
        <v>1.319</v>
      </c>
      <c r="N43" s="130"/>
    </row>
    <row r="44" spans="1:14" x14ac:dyDescent="0.3">
      <c r="A44" s="140"/>
      <c r="B44" s="133" t="s">
        <v>99</v>
      </c>
      <c r="C44" s="134">
        <v>14426</v>
      </c>
      <c r="D44" s="135">
        <v>11134</v>
      </c>
      <c r="E44" s="135">
        <v>1365</v>
      </c>
      <c r="F44" s="132"/>
      <c r="G44" s="2">
        <f t="shared" si="1"/>
        <v>1052.9158455587183</v>
      </c>
      <c r="I44" s="141"/>
      <c r="J44" s="137" t="s">
        <v>99</v>
      </c>
      <c r="K44" s="138">
        <v>13.701000000000001</v>
      </c>
      <c r="L44" s="139">
        <v>10.478999999999999</v>
      </c>
      <c r="M44" s="139">
        <v>1.3360000000000001</v>
      </c>
      <c r="N44" s="130"/>
    </row>
    <row r="45" spans="1:14" x14ac:dyDescent="0.3">
      <c r="A45" s="140"/>
      <c r="B45" s="133" t="s">
        <v>100</v>
      </c>
      <c r="C45" s="134">
        <v>14667</v>
      </c>
      <c r="D45" s="135">
        <v>11319</v>
      </c>
      <c r="E45" s="135">
        <v>1388</v>
      </c>
      <c r="F45" s="132"/>
      <c r="G45" s="2">
        <f t="shared" si="1"/>
        <v>1052.9073941134243</v>
      </c>
      <c r="I45" s="141"/>
      <c r="J45" s="137" t="s">
        <v>100</v>
      </c>
      <c r="K45" s="138">
        <v>13.93</v>
      </c>
      <c r="L45" s="139">
        <v>10.654</v>
      </c>
      <c r="M45" s="139">
        <v>1.3580000000000001</v>
      </c>
      <c r="N45" s="130"/>
    </row>
    <row r="46" spans="1:14" x14ac:dyDescent="0.3">
      <c r="A46" s="140"/>
      <c r="B46" s="133" t="s">
        <v>101</v>
      </c>
      <c r="C46" s="134">
        <v>14962</v>
      </c>
      <c r="D46" s="135">
        <v>11546</v>
      </c>
      <c r="E46" s="135">
        <v>1416</v>
      </c>
      <c r="F46" s="132"/>
      <c r="G46" s="2">
        <f t="shared" si="1"/>
        <v>1052.9204785362419</v>
      </c>
      <c r="I46" s="141"/>
      <c r="J46" s="137" t="s">
        <v>101</v>
      </c>
      <c r="K46" s="138">
        <v>14.21</v>
      </c>
      <c r="L46" s="139">
        <v>10.867000000000001</v>
      </c>
      <c r="M46" s="139">
        <v>1.385</v>
      </c>
      <c r="N46" s="130"/>
    </row>
    <row r="47" spans="1:14" ht="26.4" x14ac:dyDescent="0.3">
      <c r="A47" s="133" t="s">
        <v>122</v>
      </c>
      <c r="B47" s="133" t="s">
        <v>123</v>
      </c>
      <c r="C47" s="134">
        <v>15372</v>
      </c>
      <c r="D47" s="135">
        <v>11699</v>
      </c>
      <c r="E47" s="135">
        <v>1577</v>
      </c>
      <c r="F47" s="132"/>
      <c r="G47" s="2">
        <f t="shared" si="1"/>
        <v>1052.5162615542622</v>
      </c>
      <c r="I47" s="137">
        <v>11110.09</v>
      </c>
      <c r="J47" s="137" t="s">
        <v>124</v>
      </c>
      <c r="K47" s="138">
        <v>14.605</v>
      </c>
      <c r="L47" s="139">
        <v>11.010999999999999</v>
      </c>
      <c r="M47" s="139">
        <v>1.5429999999999999</v>
      </c>
      <c r="N47" s="130"/>
    </row>
    <row r="48" spans="1:14" x14ac:dyDescent="0.3">
      <c r="A48" s="140"/>
      <c r="B48" s="133" t="s">
        <v>97</v>
      </c>
      <c r="C48" s="134">
        <v>15412</v>
      </c>
      <c r="D48" s="135">
        <v>11729</v>
      </c>
      <c r="E48" s="135">
        <v>1582</v>
      </c>
      <c r="F48" s="132"/>
      <c r="G48" s="2">
        <f t="shared" si="1"/>
        <v>1052.5165608140408</v>
      </c>
      <c r="I48" s="141"/>
      <c r="J48" s="137" t="s">
        <v>97</v>
      </c>
      <c r="K48" s="138">
        <v>14.643000000000001</v>
      </c>
      <c r="L48" s="139">
        <v>11.04</v>
      </c>
      <c r="M48" s="139">
        <v>1.5469999999999999</v>
      </c>
      <c r="N48" s="130"/>
    </row>
    <row r="49" spans="1:14" x14ac:dyDescent="0.3">
      <c r="A49" s="140"/>
      <c r="B49" s="133" t="s">
        <v>98</v>
      </c>
      <c r="C49" s="134">
        <v>15496</v>
      </c>
      <c r="D49" s="135">
        <v>11793</v>
      </c>
      <c r="E49" s="135">
        <v>1590</v>
      </c>
      <c r="F49" s="132"/>
      <c r="G49" s="2">
        <f t="shared" si="1"/>
        <v>1052.4314045096442</v>
      </c>
      <c r="I49" s="141"/>
      <c r="J49" s="137" t="s">
        <v>98</v>
      </c>
      <c r="K49" s="138">
        <v>14.724</v>
      </c>
      <c r="L49" s="139">
        <v>11.1</v>
      </c>
      <c r="M49" s="139">
        <v>1.556</v>
      </c>
      <c r="N49" s="130"/>
    </row>
    <row r="50" spans="1:14" x14ac:dyDescent="0.3">
      <c r="A50" s="140"/>
      <c r="B50" s="133" t="s">
        <v>99</v>
      </c>
      <c r="C50" s="134">
        <v>15652</v>
      </c>
      <c r="D50" s="135">
        <v>11911</v>
      </c>
      <c r="E50" s="135">
        <v>1606</v>
      </c>
      <c r="F50" s="132"/>
      <c r="G50" s="2">
        <f t="shared" si="1"/>
        <v>1052.5183242552619</v>
      </c>
      <c r="I50" s="141"/>
      <c r="J50" s="137" t="s">
        <v>99</v>
      </c>
      <c r="K50" s="138">
        <v>14.871</v>
      </c>
      <c r="L50" s="139">
        <v>11.21</v>
      </c>
      <c r="M50" s="139">
        <v>1.571</v>
      </c>
      <c r="N50" s="130"/>
    </row>
    <row r="51" spans="1:14" x14ac:dyDescent="0.3">
      <c r="A51" s="140"/>
      <c r="B51" s="133" t="s">
        <v>100</v>
      </c>
      <c r="C51" s="134">
        <v>15863</v>
      </c>
      <c r="D51" s="135">
        <v>12072</v>
      </c>
      <c r="E51" s="135">
        <v>1628</v>
      </c>
      <c r="F51" s="132"/>
      <c r="G51" s="2">
        <f t="shared" si="1"/>
        <v>1052.4814225053078</v>
      </c>
      <c r="I51" s="141"/>
      <c r="J51" s="137" t="s">
        <v>100</v>
      </c>
      <c r="K51" s="138">
        <v>15.071999999999999</v>
      </c>
      <c r="L51" s="139">
        <v>11.362</v>
      </c>
      <c r="M51" s="139">
        <v>1.5920000000000001</v>
      </c>
      <c r="N51" s="130"/>
    </row>
    <row r="52" spans="1:14" x14ac:dyDescent="0.3">
      <c r="A52" s="140"/>
      <c r="B52" s="133" t="s">
        <v>101</v>
      </c>
      <c r="C52" s="134">
        <v>16124</v>
      </c>
      <c r="D52" s="135">
        <v>12271</v>
      </c>
      <c r="E52" s="135">
        <v>1655</v>
      </c>
      <c r="F52" s="132"/>
      <c r="G52" s="2">
        <f t="shared" si="1"/>
        <v>1052.4804177545691</v>
      </c>
      <c r="I52" s="141"/>
      <c r="J52" s="137" t="s">
        <v>101</v>
      </c>
      <c r="K52" s="138">
        <v>15.32</v>
      </c>
      <c r="L52" s="139">
        <v>11.55</v>
      </c>
      <c r="M52" s="139">
        <v>1.6180000000000001</v>
      </c>
      <c r="N52" s="130"/>
    </row>
    <row r="53" spans="1:14" ht="26.4" x14ac:dyDescent="0.3">
      <c r="A53" s="133" t="s">
        <v>125</v>
      </c>
      <c r="B53" s="133" t="s">
        <v>126</v>
      </c>
      <c r="C53" s="134">
        <v>16507</v>
      </c>
      <c r="D53" s="135">
        <v>12470</v>
      </c>
      <c r="E53" s="135">
        <v>1769</v>
      </c>
      <c r="F53" s="132"/>
      <c r="G53" s="2">
        <f t="shared" si="1"/>
        <v>1052.2055073941865</v>
      </c>
      <c r="I53" s="137">
        <v>11110.1</v>
      </c>
      <c r="J53" s="137" t="s">
        <v>127</v>
      </c>
      <c r="K53" s="138">
        <v>15.688000000000001</v>
      </c>
      <c r="L53" s="139">
        <v>11.737</v>
      </c>
      <c r="M53" s="139">
        <v>1.73</v>
      </c>
      <c r="N53" s="130"/>
    </row>
    <row r="54" spans="1:14" x14ac:dyDescent="0.3">
      <c r="A54" s="140"/>
      <c r="B54" s="133" t="s">
        <v>97</v>
      </c>
      <c r="C54" s="134">
        <v>16532</v>
      </c>
      <c r="D54" s="135">
        <v>12489</v>
      </c>
      <c r="E54" s="135">
        <v>1772</v>
      </c>
      <c r="F54" s="132"/>
      <c r="G54" s="2">
        <f t="shared" si="1"/>
        <v>1052.2563808796385</v>
      </c>
      <c r="I54" s="141"/>
      <c r="J54" s="137" t="s">
        <v>97</v>
      </c>
      <c r="K54" s="138">
        <v>15.711</v>
      </c>
      <c r="L54" s="139">
        <v>11.755000000000001</v>
      </c>
      <c r="M54" s="139">
        <v>1.734</v>
      </c>
      <c r="N54" s="130"/>
    </row>
    <row r="55" spans="1:14" x14ac:dyDescent="0.3">
      <c r="A55" s="140"/>
      <c r="B55" s="133" t="s">
        <v>98</v>
      </c>
      <c r="C55" s="134">
        <v>16597</v>
      </c>
      <c r="D55" s="135">
        <v>12538</v>
      </c>
      <c r="E55" s="135">
        <v>1779</v>
      </c>
      <c r="F55" s="132"/>
      <c r="G55" s="2">
        <f t="shared" si="1"/>
        <v>1052.2411716223928</v>
      </c>
      <c r="I55" s="141"/>
      <c r="J55" s="137" t="s">
        <v>98</v>
      </c>
      <c r="K55" s="138">
        <v>15.773</v>
      </c>
      <c r="L55" s="139">
        <v>11.801</v>
      </c>
      <c r="M55" s="139">
        <v>1.74</v>
      </c>
      <c r="N55" s="130"/>
    </row>
    <row r="56" spans="1:14" x14ac:dyDescent="0.3">
      <c r="A56" s="140"/>
      <c r="B56" s="133" t="s">
        <v>99</v>
      </c>
      <c r="C56" s="134">
        <v>16731</v>
      </c>
      <c r="D56" s="135">
        <v>12639</v>
      </c>
      <c r="E56" s="135">
        <v>1794</v>
      </c>
      <c r="F56" s="132"/>
      <c r="G56" s="2">
        <f t="shared" si="1"/>
        <v>1052.2641509433963</v>
      </c>
      <c r="I56" s="141"/>
      <c r="J56" s="137" t="s">
        <v>99</v>
      </c>
      <c r="K56" s="138">
        <v>15.9</v>
      </c>
      <c r="L56" s="139">
        <v>11.896000000000001</v>
      </c>
      <c r="M56" s="139">
        <v>1.7549999999999999</v>
      </c>
      <c r="N56" s="130"/>
    </row>
    <row r="57" spans="1:14" x14ac:dyDescent="0.3">
      <c r="A57" s="140"/>
      <c r="B57" s="133" t="s">
        <v>100</v>
      </c>
      <c r="C57" s="134">
        <v>16916</v>
      </c>
      <c r="D57" s="135">
        <v>12779</v>
      </c>
      <c r="E57" s="135">
        <v>1813</v>
      </c>
      <c r="F57" s="132"/>
      <c r="G57" s="2">
        <f t="shared" si="1"/>
        <v>1052.2518039313261</v>
      </c>
      <c r="I57" s="141"/>
      <c r="J57" s="137" t="s">
        <v>100</v>
      </c>
      <c r="K57" s="138">
        <v>16.076000000000001</v>
      </c>
      <c r="L57" s="139">
        <v>12.028</v>
      </c>
      <c r="M57" s="139">
        <v>1.7729999999999999</v>
      </c>
      <c r="N57" s="130"/>
    </row>
    <row r="58" spans="1:14" x14ac:dyDescent="0.3">
      <c r="A58" s="140"/>
      <c r="B58" s="133" t="s">
        <v>101</v>
      </c>
      <c r="C58" s="134">
        <v>17151</v>
      </c>
      <c r="D58" s="135">
        <v>12956</v>
      </c>
      <c r="E58" s="135">
        <v>1839</v>
      </c>
      <c r="F58" s="132"/>
      <c r="G58" s="2">
        <f t="shared" si="1"/>
        <v>1052.2731455917542</v>
      </c>
      <c r="I58" s="141"/>
      <c r="J58" s="137" t="s">
        <v>101</v>
      </c>
      <c r="K58" s="138">
        <v>16.298999999999999</v>
      </c>
      <c r="L58" s="139">
        <v>12.194000000000001</v>
      </c>
      <c r="M58" s="139">
        <v>1.7989999999999999</v>
      </c>
      <c r="N58" s="130"/>
    </row>
    <row r="59" spans="1:14" ht="26.4" x14ac:dyDescent="0.3">
      <c r="A59" s="133" t="s">
        <v>128</v>
      </c>
      <c r="B59" s="133" t="s">
        <v>129</v>
      </c>
      <c r="C59" s="134">
        <v>17641</v>
      </c>
      <c r="D59" s="135">
        <v>13241</v>
      </c>
      <c r="E59" s="135">
        <v>1961</v>
      </c>
      <c r="F59" s="132"/>
      <c r="G59" s="2">
        <f t="shared" si="1"/>
        <v>1052.0007156061781</v>
      </c>
      <c r="I59" s="137">
        <v>11110.11</v>
      </c>
      <c r="J59" s="137" t="s">
        <v>130</v>
      </c>
      <c r="K59" s="138">
        <v>16.768999999999998</v>
      </c>
      <c r="L59" s="139">
        <v>12.462</v>
      </c>
      <c r="M59" s="139">
        <v>1.9179999999999999</v>
      </c>
      <c r="N59" s="130"/>
    </row>
    <row r="60" spans="1:14" x14ac:dyDescent="0.3">
      <c r="A60" s="140"/>
      <c r="B60" s="133" t="s">
        <v>97</v>
      </c>
      <c r="C60" s="134">
        <v>17660</v>
      </c>
      <c r="D60" s="135">
        <v>13255</v>
      </c>
      <c r="E60" s="135">
        <v>1963</v>
      </c>
      <c r="F60" s="132"/>
      <c r="G60" s="2">
        <f t="shared" si="1"/>
        <v>1052.0671988561896</v>
      </c>
      <c r="I60" s="141"/>
      <c r="J60" s="137" t="s">
        <v>97</v>
      </c>
      <c r="K60" s="138">
        <v>16.786000000000001</v>
      </c>
      <c r="L60" s="139">
        <v>12.476000000000001</v>
      </c>
      <c r="M60" s="139">
        <v>1.92</v>
      </c>
      <c r="N60" s="130"/>
    </row>
    <row r="61" spans="1:14" x14ac:dyDescent="0.3">
      <c r="A61" s="140"/>
      <c r="B61" s="133" t="s">
        <v>98</v>
      </c>
      <c r="C61" s="134">
        <v>17718</v>
      </c>
      <c r="D61" s="135">
        <v>13299</v>
      </c>
      <c r="E61" s="135">
        <v>1969</v>
      </c>
      <c r="F61" s="132"/>
      <c r="G61" s="2">
        <f t="shared" si="1"/>
        <v>1052.0752924410663</v>
      </c>
      <c r="I61" s="141"/>
      <c r="J61" s="137" t="s">
        <v>98</v>
      </c>
      <c r="K61" s="138">
        <v>16.841000000000001</v>
      </c>
      <c r="L61" s="139">
        <v>12.516999999999999</v>
      </c>
      <c r="M61" s="139">
        <v>1.9259999999999999</v>
      </c>
      <c r="N61" s="130"/>
    </row>
    <row r="62" spans="1:14" x14ac:dyDescent="0.3">
      <c r="A62" s="140"/>
      <c r="B62" s="133" t="s">
        <v>99</v>
      </c>
      <c r="C62" s="134">
        <v>17839</v>
      </c>
      <c r="D62" s="135">
        <v>13389</v>
      </c>
      <c r="E62" s="135">
        <v>1983</v>
      </c>
      <c r="F62" s="132"/>
      <c r="G62" s="2">
        <f t="shared" si="1"/>
        <v>1052.0759613116302</v>
      </c>
      <c r="I62" s="141"/>
      <c r="J62" s="137" t="s">
        <v>99</v>
      </c>
      <c r="K62" s="138">
        <v>16.956</v>
      </c>
      <c r="L62" s="139">
        <v>12.602</v>
      </c>
      <c r="M62" s="139">
        <v>1.94</v>
      </c>
      <c r="N62" s="130"/>
    </row>
    <row r="63" spans="1:14" x14ac:dyDescent="0.3">
      <c r="A63" s="140"/>
      <c r="B63" s="133" t="s">
        <v>100</v>
      </c>
      <c r="C63" s="134">
        <v>18010</v>
      </c>
      <c r="D63" s="135">
        <v>13519</v>
      </c>
      <c r="E63" s="135">
        <v>2003</v>
      </c>
      <c r="F63" s="132"/>
      <c r="G63" s="2">
        <f t="shared" si="1"/>
        <v>1052.0474326771423</v>
      </c>
      <c r="I63" s="141"/>
      <c r="J63" s="137" t="s">
        <v>100</v>
      </c>
      <c r="K63" s="138">
        <v>17.119</v>
      </c>
      <c r="L63" s="139">
        <v>12.724</v>
      </c>
      <c r="M63" s="139">
        <v>1.9590000000000001</v>
      </c>
      <c r="N63" s="130"/>
    </row>
    <row r="64" spans="1:14" x14ac:dyDescent="0.3">
      <c r="A64" s="140"/>
      <c r="B64" s="133" t="s">
        <v>101</v>
      </c>
      <c r="C64" s="134">
        <v>18229</v>
      </c>
      <c r="D64" s="135">
        <v>13683</v>
      </c>
      <c r="E64" s="135">
        <v>2026</v>
      </c>
      <c r="F64" s="132"/>
      <c r="G64" s="2">
        <f t="shared" si="1"/>
        <v>1052.0574825416979</v>
      </c>
      <c r="I64" s="141"/>
      <c r="J64" s="137" t="s">
        <v>101</v>
      </c>
      <c r="K64" s="138">
        <v>17.327000000000002</v>
      </c>
      <c r="L64" s="139">
        <v>12.879</v>
      </c>
      <c r="M64" s="139">
        <v>1.982</v>
      </c>
      <c r="N64" s="130"/>
    </row>
    <row r="65" spans="1:14" ht="26.4" x14ac:dyDescent="0.3">
      <c r="A65" s="133" t="s">
        <v>131</v>
      </c>
      <c r="B65" s="133" t="s">
        <v>132</v>
      </c>
      <c r="C65" s="134">
        <v>18776</v>
      </c>
      <c r="D65" s="135">
        <v>14013</v>
      </c>
      <c r="E65" s="135">
        <v>2152</v>
      </c>
      <c r="F65" s="132"/>
      <c r="G65" s="2">
        <f t="shared" si="1"/>
        <v>1051.8767507002801</v>
      </c>
      <c r="I65" s="137">
        <v>11110.12</v>
      </c>
      <c r="J65" s="137" t="s">
        <v>133</v>
      </c>
      <c r="K65" s="138">
        <v>17.850000000000001</v>
      </c>
      <c r="L65" s="139">
        <v>13.189</v>
      </c>
      <c r="M65" s="139">
        <v>2.105</v>
      </c>
      <c r="N65" s="130"/>
    </row>
    <row r="66" spans="1:14" x14ac:dyDescent="0.3">
      <c r="A66" s="140"/>
      <c r="B66" s="133" t="s">
        <v>97</v>
      </c>
      <c r="C66" s="134">
        <v>18786</v>
      </c>
      <c r="D66" s="135">
        <v>14020</v>
      </c>
      <c r="E66" s="135">
        <v>2154</v>
      </c>
      <c r="F66" s="132"/>
      <c r="G66" s="2">
        <f t="shared" si="1"/>
        <v>1051.9066017134217</v>
      </c>
      <c r="I66" s="141"/>
      <c r="J66" s="137" t="s">
        <v>97</v>
      </c>
      <c r="K66" s="138">
        <v>17.859000000000002</v>
      </c>
      <c r="L66" s="139">
        <v>13.196</v>
      </c>
      <c r="M66" s="139">
        <v>2.1070000000000002</v>
      </c>
      <c r="N66" s="130"/>
    </row>
    <row r="67" spans="1:14" x14ac:dyDescent="0.3">
      <c r="A67" s="140"/>
      <c r="B67" s="133" t="s">
        <v>98</v>
      </c>
      <c r="C67" s="134">
        <v>18834</v>
      </c>
      <c r="D67" s="135">
        <v>14056</v>
      </c>
      <c r="E67" s="135">
        <v>2160</v>
      </c>
      <c r="F67" s="132"/>
      <c r="G67" s="2">
        <f t="shared" si="1"/>
        <v>1051.8849483384529</v>
      </c>
      <c r="I67" s="141"/>
      <c r="J67" s="137" t="s">
        <v>98</v>
      </c>
      <c r="K67" s="138">
        <v>17.905000000000001</v>
      </c>
      <c r="L67" s="139">
        <v>13.23</v>
      </c>
      <c r="M67" s="139">
        <v>2.113</v>
      </c>
      <c r="N67" s="130"/>
    </row>
    <row r="68" spans="1:14" x14ac:dyDescent="0.3">
      <c r="A68" s="140"/>
      <c r="B68" s="133" t="s">
        <v>99</v>
      </c>
      <c r="C68" s="134">
        <v>18941</v>
      </c>
      <c r="D68" s="135">
        <v>14136</v>
      </c>
      <c r="E68" s="135">
        <v>2172</v>
      </c>
      <c r="F68" s="132"/>
      <c r="G68" s="2">
        <f t="shared" si="1"/>
        <v>1051.8687177208863</v>
      </c>
      <c r="I68" s="141"/>
      <c r="J68" s="137" t="s">
        <v>99</v>
      </c>
      <c r="K68" s="138">
        <v>18.007000000000001</v>
      </c>
      <c r="L68" s="139">
        <v>13.305</v>
      </c>
      <c r="M68" s="139">
        <v>2.1240000000000001</v>
      </c>
      <c r="N68" s="130"/>
    </row>
    <row r="69" spans="1:14" x14ac:dyDescent="0.3">
      <c r="A69" s="140"/>
      <c r="B69" s="133" t="s">
        <v>100</v>
      </c>
      <c r="C69" s="134">
        <v>19097</v>
      </c>
      <c r="D69" s="135">
        <v>14253</v>
      </c>
      <c r="E69" s="135">
        <v>2190</v>
      </c>
      <c r="F69" s="132"/>
      <c r="G69" s="2">
        <f t="shared" si="1"/>
        <v>1051.8285966071824</v>
      </c>
      <c r="I69" s="141"/>
      <c r="J69" s="137" t="s">
        <v>100</v>
      </c>
      <c r="K69" s="138">
        <v>18.155999999999999</v>
      </c>
      <c r="L69" s="139">
        <v>13.416</v>
      </c>
      <c r="M69" s="139">
        <v>2.1419999999999999</v>
      </c>
      <c r="N69" s="130"/>
    </row>
    <row r="70" spans="1:14" x14ac:dyDescent="0.3">
      <c r="A70" s="140"/>
      <c r="B70" s="133" t="s">
        <v>101</v>
      </c>
      <c r="C70" s="134">
        <v>19300</v>
      </c>
      <c r="D70" s="135">
        <v>14404</v>
      </c>
      <c r="E70" s="135">
        <v>2214</v>
      </c>
      <c r="F70" s="132"/>
      <c r="G70" s="2">
        <f t="shared" si="1"/>
        <v>1051.8284375170308</v>
      </c>
      <c r="I70" s="141"/>
      <c r="J70" s="137" t="s">
        <v>101</v>
      </c>
      <c r="K70" s="138">
        <v>18.349</v>
      </c>
      <c r="L70" s="139">
        <v>13.557</v>
      </c>
      <c r="M70" s="139">
        <v>2.165</v>
      </c>
      <c r="N70" s="130"/>
    </row>
    <row r="71" spans="1:14" x14ac:dyDescent="0.3">
      <c r="A71" s="130"/>
      <c r="C71" s="130"/>
      <c r="D71" s="130"/>
      <c r="E71" s="130"/>
      <c r="F71" s="132"/>
      <c r="G71" s="155">
        <f>SUM(G5:G70)/68</f>
        <v>1022.2689160634802</v>
      </c>
    </row>
    <row r="72" spans="1:14" x14ac:dyDescent="0.3">
      <c r="A72" s="130"/>
      <c r="B72" s="142" t="s">
        <v>134</v>
      </c>
      <c r="C72" s="130"/>
      <c r="D72" s="130"/>
      <c r="E72" s="130"/>
      <c r="F72" s="132"/>
    </row>
    <row r="73" spans="1:14" ht="26.4" x14ac:dyDescent="0.3">
      <c r="A73" s="133" t="s">
        <v>135</v>
      </c>
      <c r="B73" s="140" t="s">
        <v>136</v>
      </c>
      <c r="C73" s="134">
        <v>2026</v>
      </c>
      <c r="D73" s="135">
        <v>1815</v>
      </c>
      <c r="E73" s="130"/>
      <c r="F73" s="132"/>
    </row>
    <row r="74" spans="1:14" ht="52.8" x14ac:dyDescent="0.3">
      <c r="A74" s="133" t="s">
        <v>137</v>
      </c>
      <c r="B74" s="140" t="s">
        <v>138</v>
      </c>
      <c r="C74" s="134">
        <v>5321</v>
      </c>
      <c r="D74" s="135">
        <v>4787</v>
      </c>
      <c r="E74" s="130"/>
      <c r="F74" s="132"/>
    </row>
    <row r="75" spans="1:14" ht="79.2" x14ac:dyDescent="0.3">
      <c r="A75" s="133" t="s">
        <v>139</v>
      </c>
      <c r="B75" s="140" t="s">
        <v>140</v>
      </c>
      <c r="C75" s="134">
        <v>8160</v>
      </c>
      <c r="D75" s="135">
        <v>7347</v>
      </c>
      <c r="E75" s="130"/>
      <c r="F75" s="132"/>
    </row>
    <row r="76" spans="1:14" x14ac:dyDescent="0.3">
      <c r="A76" s="140"/>
      <c r="B76" s="140" t="s">
        <v>97</v>
      </c>
      <c r="C76" s="134">
        <v>10075</v>
      </c>
      <c r="D76" s="135">
        <v>9063</v>
      </c>
      <c r="E76" s="130"/>
      <c r="F76" s="132"/>
    </row>
    <row r="77" spans="1:14" ht="79.2" x14ac:dyDescent="0.3">
      <c r="A77" s="133" t="s">
        <v>141</v>
      </c>
      <c r="B77" s="140" t="s">
        <v>142</v>
      </c>
      <c r="C77" s="134">
        <v>10253</v>
      </c>
      <c r="D77" s="135">
        <v>8906</v>
      </c>
      <c r="E77" s="130"/>
      <c r="F77" s="132"/>
    </row>
    <row r="78" spans="1:14" x14ac:dyDescent="0.3">
      <c r="A78" s="140"/>
      <c r="B78" s="140" t="s">
        <v>97</v>
      </c>
      <c r="C78" s="134">
        <v>11036</v>
      </c>
      <c r="D78" s="135">
        <v>9594</v>
      </c>
      <c r="E78" s="130"/>
      <c r="F78" s="132"/>
    </row>
    <row r="79" spans="1:14" ht="79.2" x14ac:dyDescent="0.3">
      <c r="A79" s="143" t="s">
        <v>143</v>
      </c>
      <c r="B79" s="144" t="s">
        <v>144</v>
      </c>
      <c r="C79" s="144"/>
      <c r="D79" s="145"/>
      <c r="E79" s="145"/>
      <c r="F79" s="132"/>
    </row>
    <row r="80" spans="1:14" ht="28.8" x14ac:dyDescent="0.3">
      <c r="A80" s="130"/>
      <c r="B80" s="140" t="s">
        <v>145</v>
      </c>
      <c r="C80" s="134">
        <v>8896</v>
      </c>
      <c r="D80" s="135">
        <v>7480</v>
      </c>
      <c r="E80" s="130"/>
      <c r="F80" s="132"/>
    </row>
    <row r="81" spans="1:6" ht="28.8" x14ac:dyDescent="0.3">
      <c r="A81" s="130"/>
      <c r="B81" s="140" t="s">
        <v>146</v>
      </c>
      <c r="C81" s="134">
        <v>8284</v>
      </c>
      <c r="D81" s="135">
        <v>7263</v>
      </c>
      <c r="E81" s="130"/>
      <c r="F81" s="132"/>
    </row>
    <row r="82" spans="1:6" ht="28.8" x14ac:dyDescent="0.3">
      <c r="A82" s="130"/>
      <c r="B82" s="140" t="s">
        <v>147</v>
      </c>
      <c r="C82" s="134">
        <v>7612</v>
      </c>
      <c r="D82" s="135">
        <v>6947</v>
      </c>
      <c r="E82" s="130"/>
      <c r="F82" s="132"/>
    </row>
    <row r="83" spans="1:6" ht="28.8" x14ac:dyDescent="0.3">
      <c r="A83" s="130"/>
      <c r="B83" s="140" t="s">
        <v>148</v>
      </c>
      <c r="C83" s="134">
        <v>7439</v>
      </c>
      <c r="D83" s="135">
        <v>6873</v>
      </c>
      <c r="E83" s="130"/>
      <c r="F83" s="132"/>
    </row>
    <row r="84" spans="1:6" ht="28.8" x14ac:dyDescent="0.3">
      <c r="A84" s="130"/>
      <c r="B84" s="140" t="s">
        <v>149</v>
      </c>
      <c r="C84" s="134">
        <v>7223</v>
      </c>
      <c r="D84" s="135">
        <v>6727</v>
      </c>
      <c r="E84" s="130"/>
      <c r="F84" s="132"/>
    </row>
    <row r="85" spans="1:6" ht="28.8" x14ac:dyDescent="0.3">
      <c r="A85" s="130"/>
      <c r="B85" s="140" t="s">
        <v>150</v>
      </c>
      <c r="C85" s="134">
        <v>6898</v>
      </c>
      <c r="D85" s="135">
        <v>6434</v>
      </c>
      <c r="E85" s="130"/>
      <c r="F85" s="132"/>
    </row>
    <row r="86" spans="1:6" ht="79.2" x14ac:dyDescent="0.3">
      <c r="A86" s="143" t="s">
        <v>151</v>
      </c>
      <c r="B86" s="144" t="s">
        <v>152</v>
      </c>
      <c r="C86" s="146"/>
      <c r="D86" s="147"/>
      <c r="E86" s="130"/>
      <c r="F86" s="132"/>
    </row>
    <row r="87" spans="1:6" x14ac:dyDescent="0.3">
      <c r="A87" s="130"/>
      <c r="B87" s="130"/>
      <c r="C87" s="130"/>
      <c r="D87" s="130"/>
      <c r="E87" s="130"/>
      <c r="F87" s="132"/>
    </row>
    <row r="88" spans="1:6" ht="28.8" x14ac:dyDescent="0.3">
      <c r="A88" s="130"/>
      <c r="B88" s="140" t="s">
        <v>145</v>
      </c>
      <c r="C88" s="134">
        <v>9824</v>
      </c>
      <c r="D88" s="135">
        <v>8914</v>
      </c>
      <c r="E88" s="130"/>
      <c r="F88" s="132"/>
    </row>
    <row r="89" spans="1:6" ht="28.8" x14ac:dyDescent="0.3">
      <c r="A89" s="130"/>
      <c r="B89" s="140" t="s">
        <v>146</v>
      </c>
      <c r="C89" s="134">
        <v>8979</v>
      </c>
      <c r="D89" s="135">
        <v>8282</v>
      </c>
      <c r="E89" s="130"/>
      <c r="F89" s="132"/>
    </row>
    <row r="90" spans="1:6" ht="28.8" x14ac:dyDescent="0.3">
      <c r="A90" s="130"/>
      <c r="B90" s="140" t="s">
        <v>147</v>
      </c>
      <c r="C90" s="134">
        <v>8778</v>
      </c>
      <c r="D90" s="135">
        <v>8110</v>
      </c>
      <c r="E90" s="130"/>
      <c r="F90" s="132"/>
    </row>
    <row r="91" spans="1:6" ht="28.8" x14ac:dyDescent="0.3">
      <c r="A91" s="130"/>
      <c r="B91" s="140" t="s">
        <v>148</v>
      </c>
      <c r="C91" s="134">
        <v>8635</v>
      </c>
      <c r="D91" s="135">
        <v>8051</v>
      </c>
      <c r="E91" s="130"/>
      <c r="F91" s="132"/>
    </row>
    <row r="92" spans="1:6" ht="28.8" x14ac:dyDescent="0.3">
      <c r="A92" s="130"/>
      <c r="B92" s="140" t="s">
        <v>149</v>
      </c>
      <c r="C92" s="134">
        <v>8459</v>
      </c>
      <c r="D92" s="135">
        <v>7931</v>
      </c>
      <c r="E92" s="130"/>
      <c r="F92" s="132"/>
    </row>
    <row r="93" spans="1:6" ht="16.2" x14ac:dyDescent="0.3">
      <c r="A93" s="130"/>
      <c r="B93" s="148" t="s">
        <v>153</v>
      </c>
      <c r="C93" s="149">
        <v>8193</v>
      </c>
      <c r="D93" s="150">
        <v>7692</v>
      </c>
      <c r="E93" s="130"/>
      <c r="F93" s="132"/>
    </row>
    <row r="94" spans="1:6" x14ac:dyDescent="0.3">
      <c r="A94" s="151"/>
    </row>
    <row r="95" spans="1:6" x14ac:dyDescent="0.3">
      <c r="A95" s="152"/>
    </row>
    <row r="96" spans="1:6" x14ac:dyDescent="0.3">
      <c r="A96" s="153"/>
    </row>
    <row r="97" spans="1:1" x14ac:dyDescent="0.3">
      <c r="A97" s="153"/>
    </row>
    <row r="98" spans="1:1" x14ac:dyDescent="0.3">
      <c r="A98" s="154"/>
    </row>
    <row r="99" spans="1:1" x14ac:dyDescent="0.3">
      <c r="A99" s="151"/>
    </row>
    <row r="100" spans="1:1" x14ac:dyDescent="0.3">
      <c r="A100" s="153"/>
    </row>
    <row r="101" spans="1:1" x14ac:dyDescent="0.3">
      <c r="A101" s="154"/>
    </row>
    <row r="102" spans="1:1" x14ac:dyDescent="0.3">
      <c r="A102" s="151"/>
    </row>
  </sheetData>
  <mergeCells count="4">
    <mergeCell ref="D4:E4"/>
    <mergeCell ref="A2:E2"/>
    <mergeCell ref="I2:N2"/>
    <mergeCell ref="G2:G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1EDF53-7FC5-4E21-8E53-57B0E2B70301}">
  <dimension ref="A2:J31"/>
  <sheetViews>
    <sheetView zoomScale="70" zoomScaleNormal="70" workbookViewId="0">
      <selection activeCell="C8" sqref="C8"/>
    </sheetView>
  </sheetViews>
  <sheetFormatPr defaultRowHeight="15.6" x14ac:dyDescent="0.3"/>
  <cols>
    <col min="1" max="1" width="4" style="69" customWidth="1"/>
    <col min="2" max="2" width="25.21875" customWidth="1"/>
    <col min="3" max="5" width="10.6640625" customWidth="1"/>
    <col min="6" max="6" width="12.6640625" customWidth="1"/>
    <col min="7" max="7" width="11.5546875" customWidth="1"/>
    <col min="8" max="8" width="10.88671875" customWidth="1"/>
    <col min="9" max="9" width="10.5546875" customWidth="1"/>
    <col min="10" max="10" width="17.88671875" customWidth="1"/>
  </cols>
  <sheetData>
    <row r="2" spans="1:10" s="1" customFormat="1" ht="109.8" customHeight="1" x14ac:dyDescent="0.35">
      <c r="A2" s="66"/>
      <c r="B2" s="163" t="s">
        <v>0</v>
      </c>
      <c r="C2" s="58" t="s">
        <v>1</v>
      </c>
      <c r="D2" s="58" t="s">
        <v>9</v>
      </c>
      <c r="E2" s="58" t="s">
        <v>16</v>
      </c>
      <c r="F2" s="163" t="s">
        <v>17</v>
      </c>
      <c r="G2" s="163"/>
      <c r="H2" s="163"/>
      <c r="I2" s="163"/>
      <c r="J2" s="81"/>
    </row>
    <row r="3" spans="1:10" s="1" customFormat="1" ht="62.4" x14ac:dyDescent="0.35">
      <c r="A3" s="66"/>
      <c r="B3" s="163"/>
      <c r="C3" s="58" t="s">
        <v>2</v>
      </c>
      <c r="D3" s="58" t="s">
        <v>29</v>
      </c>
      <c r="E3" s="60">
        <v>0.05</v>
      </c>
      <c r="F3" s="165" t="s">
        <v>83</v>
      </c>
      <c r="G3" s="165"/>
      <c r="H3" s="165"/>
      <c r="I3" s="165"/>
      <c r="J3" s="81"/>
    </row>
    <row r="4" spans="1:10" s="1" customFormat="1" ht="18" x14ac:dyDescent="0.35">
      <c r="A4" s="66"/>
      <c r="B4" s="163"/>
      <c r="C4" s="61"/>
      <c r="D4" s="61"/>
      <c r="E4" s="61"/>
      <c r="F4" s="166" t="s">
        <v>25</v>
      </c>
      <c r="G4" s="81" t="s">
        <v>20</v>
      </c>
      <c r="H4" s="81" t="s">
        <v>21</v>
      </c>
      <c r="I4" s="81" t="s">
        <v>22</v>
      </c>
      <c r="J4" s="81"/>
    </row>
    <row r="5" spans="1:10" s="1" customFormat="1" ht="82.2" customHeight="1" x14ac:dyDescent="0.35">
      <c r="A5" s="66"/>
      <c r="B5" s="163"/>
      <c r="C5" s="62">
        <v>1</v>
      </c>
      <c r="D5" s="62" t="s">
        <v>30</v>
      </c>
      <c r="E5" s="62" t="s">
        <v>32</v>
      </c>
      <c r="F5" s="166"/>
      <c r="G5" s="62" t="s">
        <v>44</v>
      </c>
      <c r="H5" s="62" t="s">
        <v>43</v>
      </c>
      <c r="I5" s="62" t="s">
        <v>42</v>
      </c>
      <c r="J5" s="81"/>
    </row>
    <row r="6" spans="1:10" s="1" customFormat="1" ht="18" x14ac:dyDescent="0.35">
      <c r="A6" s="66"/>
      <c r="B6" s="62"/>
      <c r="C6" s="62"/>
      <c r="D6" s="63">
        <v>0.05</v>
      </c>
      <c r="E6" s="63">
        <v>0.1</v>
      </c>
      <c r="F6" s="63"/>
      <c r="G6" s="83">
        <v>7.0000000000000007E-2</v>
      </c>
      <c r="H6" s="83">
        <v>7.0000000000000007E-2</v>
      </c>
      <c r="I6" s="83">
        <v>7.0000000000000007E-2</v>
      </c>
      <c r="J6" s="81"/>
    </row>
    <row r="7" spans="1:10" s="1" customFormat="1" ht="31.2" x14ac:dyDescent="0.35">
      <c r="A7" s="72"/>
      <c r="B7" s="73" t="s">
        <v>74</v>
      </c>
      <c r="C7" s="62"/>
      <c r="D7" s="63"/>
      <c r="E7" s="63"/>
      <c r="F7" s="63"/>
      <c r="G7" s="83"/>
      <c r="H7" s="83"/>
      <c r="I7" s="83"/>
      <c r="J7" s="81"/>
    </row>
    <row r="8" spans="1:10" s="1" customFormat="1" ht="46.8" x14ac:dyDescent="0.35">
      <c r="A8" s="72">
        <v>1</v>
      </c>
      <c r="B8" s="75" t="s">
        <v>75</v>
      </c>
      <c r="C8" s="65">
        <f>SĐT!C11</f>
        <v>5386560</v>
      </c>
      <c r="D8" s="65">
        <f>+C8*D$6</f>
        <v>269328</v>
      </c>
      <c r="E8" s="65">
        <f>+C8*E$6</f>
        <v>538656</v>
      </c>
      <c r="F8" s="65">
        <f>+G8+H8+I8</f>
        <v>433618.08</v>
      </c>
      <c r="G8" s="65"/>
      <c r="H8" s="65">
        <f t="shared" ref="H8:H9" si="0">+(C8+D8+E8)*0.7*H$6</f>
        <v>303532.65600000002</v>
      </c>
      <c r="I8" s="65">
        <f t="shared" ref="I8:I9" si="1">+(C8+D8+E8)*0.3*I$6</f>
        <v>130085.42400000001</v>
      </c>
      <c r="J8" s="64" t="s">
        <v>23</v>
      </c>
    </row>
    <row r="9" spans="1:10" s="1" customFormat="1" ht="46.8" x14ac:dyDescent="0.35">
      <c r="A9" s="72">
        <v>2</v>
      </c>
      <c r="B9" s="75" t="s">
        <v>76</v>
      </c>
      <c r="C9" s="65">
        <f>SĐT!C12</f>
        <v>7046469.0909090899</v>
      </c>
      <c r="D9" s="65">
        <f t="shared" ref="D9:D10" si="2">+C9*D$6</f>
        <v>352323.45454545453</v>
      </c>
      <c r="E9" s="65">
        <f t="shared" ref="E9:E10" si="3">+C9*E$6</f>
        <v>704646.90909090906</v>
      </c>
      <c r="F9" s="65">
        <f t="shared" ref="F9:F20" si="4">+G9+H9+I9</f>
        <v>567240.76181818172</v>
      </c>
      <c r="G9" s="65"/>
      <c r="H9" s="65">
        <f t="shared" si="0"/>
        <v>397068.53327272722</v>
      </c>
      <c r="I9" s="65">
        <f t="shared" si="1"/>
        <v>170172.22854545453</v>
      </c>
      <c r="J9" s="64" t="s">
        <v>23</v>
      </c>
    </row>
    <row r="10" spans="1:10" s="1" customFormat="1" ht="62.4" x14ac:dyDescent="0.35">
      <c r="A10" s="72">
        <v>3</v>
      </c>
      <c r="B10" s="76" t="s">
        <v>77</v>
      </c>
      <c r="C10" s="65">
        <f>SĐT!C13</f>
        <v>7492418.1818181807</v>
      </c>
      <c r="D10" s="65">
        <f t="shared" si="2"/>
        <v>374620.90909090906</v>
      </c>
      <c r="E10" s="65">
        <f t="shared" si="3"/>
        <v>749241.81818181812</v>
      </c>
      <c r="F10" s="65">
        <f t="shared" si="4"/>
        <v>784081.56272727274</v>
      </c>
      <c r="G10" s="65">
        <f t="shared" ref="G10" si="5">+(C10+D10+E10)*0.7*G$6</f>
        <v>422197.76454545453</v>
      </c>
      <c r="H10" s="65">
        <f t="shared" ref="H10" si="6">+(C10+D10+E10)*0.4*H$6</f>
        <v>241255.86545454545</v>
      </c>
      <c r="I10" s="65">
        <f t="shared" ref="I10" si="7">+(C10+D10+E10)*0.2*I$6</f>
        <v>120627.93272727272</v>
      </c>
      <c r="J10" s="64" t="s">
        <v>24</v>
      </c>
    </row>
    <row r="11" spans="1:10" s="1" customFormat="1" ht="47.4" customHeight="1" x14ac:dyDescent="0.35">
      <c r="A11" s="77"/>
      <c r="B11" s="73" t="s">
        <v>78</v>
      </c>
      <c r="C11" s="62"/>
      <c r="D11" s="63"/>
      <c r="E11" s="63"/>
      <c r="F11" s="63"/>
      <c r="G11" s="83"/>
      <c r="H11" s="83"/>
      <c r="I11" s="83"/>
      <c r="J11" s="81"/>
    </row>
    <row r="12" spans="1:10" s="1" customFormat="1" ht="46.8" x14ac:dyDescent="0.35">
      <c r="A12" s="96">
        <v>1</v>
      </c>
      <c r="B12" s="92" t="s">
        <v>75</v>
      </c>
      <c r="C12" s="80">
        <f>SĐT!C46</f>
        <v>5039813.5560302967</v>
      </c>
      <c r="D12" s="65">
        <v>0</v>
      </c>
      <c r="E12" s="65">
        <f>+C12*E$6</f>
        <v>503981.35560302972</v>
      </c>
      <c r="F12" s="65">
        <f t="shared" ref="F12" si="8">+G12+H12+I12</f>
        <v>388065.64381433284</v>
      </c>
      <c r="G12" s="83"/>
      <c r="H12" s="65">
        <f t="shared" ref="H12" si="9">+(C12+D12+E12)*0.7*H$6</f>
        <v>271645.95067003299</v>
      </c>
      <c r="I12" s="65">
        <f t="shared" ref="I12" si="10">+(C12+D12+E12)*0.3*I$6</f>
        <v>116419.69314429986</v>
      </c>
      <c r="J12" s="64" t="s">
        <v>23</v>
      </c>
    </row>
    <row r="13" spans="1:10" s="1" customFormat="1" ht="46.8" x14ac:dyDescent="0.35">
      <c r="A13" s="90">
        <v>2</v>
      </c>
      <c r="B13" s="92" t="s">
        <v>82</v>
      </c>
      <c r="C13" s="80">
        <f>SĐT!C47</f>
        <v>5190000</v>
      </c>
      <c r="D13" s="65">
        <v>0</v>
      </c>
      <c r="E13" s="65">
        <f>+C13*E$6</f>
        <v>519000</v>
      </c>
      <c r="F13" s="65">
        <f t="shared" si="4"/>
        <v>399630</v>
      </c>
      <c r="G13" s="83"/>
      <c r="H13" s="65">
        <f t="shared" ref="H13:H14" si="11">+(C13+D13+E13)*0.7*H$6</f>
        <v>279741</v>
      </c>
      <c r="I13" s="65">
        <f t="shared" ref="I13:I14" si="12">+(C13+D13+E13)*0.3*I$6</f>
        <v>119889.00000000001</v>
      </c>
      <c r="J13" s="64" t="s">
        <v>23</v>
      </c>
    </row>
    <row r="14" spans="1:10" s="1" customFormat="1" ht="46.8" x14ac:dyDescent="0.35">
      <c r="A14" s="90">
        <v>3</v>
      </c>
      <c r="B14" s="92" t="s">
        <v>79</v>
      </c>
      <c r="C14" s="80">
        <f>SĐT!C48</f>
        <v>5344545.4545454541</v>
      </c>
      <c r="D14" s="65">
        <v>0</v>
      </c>
      <c r="E14" s="65">
        <f>+C14*E$6</f>
        <v>534454.54545454541</v>
      </c>
      <c r="F14" s="65">
        <f t="shared" si="4"/>
        <v>411530</v>
      </c>
      <c r="G14" s="83"/>
      <c r="H14" s="65">
        <f t="shared" si="11"/>
        <v>288071</v>
      </c>
      <c r="I14" s="65">
        <f t="shared" si="12"/>
        <v>123459.00000000001</v>
      </c>
      <c r="J14" s="64" t="s">
        <v>23</v>
      </c>
    </row>
    <row r="15" spans="1:10" s="1" customFormat="1" ht="39.6" customHeight="1" x14ac:dyDescent="0.35">
      <c r="A15" s="77"/>
      <c r="B15" s="73" t="s">
        <v>80</v>
      </c>
      <c r="C15" s="62"/>
      <c r="D15" s="63"/>
      <c r="E15" s="63"/>
      <c r="F15" s="63"/>
      <c r="G15" s="83"/>
      <c r="H15" s="83"/>
      <c r="I15" s="83"/>
      <c r="J15" s="81"/>
    </row>
    <row r="16" spans="1:10" s="1" customFormat="1" ht="31.2" x14ac:dyDescent="0.35">
      <c r="A16" s="72">
        <v>1</v>
      </c>
      <c r="B16" s="75" t="s">
        <v>72</v>
      </c>
      <c r="C16" s="80">
        <f>SĐT!C50</f>
        <v>4636363.6363636358</v>
      </c>
      <c r="D16" s="65">
        <f>+C16*D$6</f>
        <v>231818.18181818179</v>
      </c>
      <c r="E16" s="65">
        <f>+C16*E$6</f>
        <v>463636.36363636359</v>
      </c>
      <c r="F16" s="65">
        <f t="shared" si="4"/>
        <v>261259.09090909085</v>
      </c>
      <c r="G16" s="83"/>
      <c r="H16" s="83"/>
      <c r="I16" s="65">
        <f>+(C16+D16+E16)*0.7*I$6</f>
        <v>261259.09090909085</v>
      </c>
      <c r="J16" s="64" t="s">
        <v>33</v>
      </c>
    </row>
    <row r="17" spans="1:10" s="1" customFormat="1" ht="31.2" x14ac:dyDescent="0.35">
      <c r="A17" s="72">
        <v>2</v>
      </c>
      <c r="B17" s="75" t="s">
        <v>73</v>
      </c>
      <c r="C17" s="80">
        <f>SĐT!C51</f>
        <v>4772727.2727272725</v>
      </c>
      <c r="D17" s="65">
        <f>+C17*D$6</f>
        <v>238636.36363636365</v>
      </c>
      <c r="E17" s="65">
        <f>+C17*E$6</f>
        <v>477272.72727272729</v>
      </c>
      <c r="F17" s="65">
        <f t="shared" si="4"/>
        <v>268943.18181818182</v>
      </c>
      <c r="G17" s="83"/>
      <c r="H17" s="83"/>
      <c r="I17" s="65">
        <f>+(C17+D17+E17)*0.7*I$6</f>
        <v>268943.18181818182</v>
      </c>
      <c r="J17" s="64" t="str">
        <f>+J16</f>
        <v>Vay 70% trong năm</v>
      </c>
    </row>
    <row r="18" spans="1:10" s="1" customFormat="1" ht="18" x14ac:dyDescent="0.35">
      <c r="A18" s="77"/>
      <c r="B18" s="73" t="s">
        <v>81</v>
      </c>
      <c r="C18" s="62"/>
      <c r="D18" s="63"/>
      <c r="E18" s="63"/>
      <c r="F18" s="63"/>
      <c r="G18" s="83"/>
      <c r="H18" s="83"/>
      <c r="I18" s="83"/>
      <c r="J18" s="81"/>
    </row>
    <row r="19" spans="1:10" s="1" customFormat="1" ht="31.2" x14ac:dyDescent="0.35">
      <c r="A19" s="78">
        <v>1</v>
      </c>
      <c r="B19" s="79" t="s">
        <v>70</v>
      </c>
      <c r="C19" s="80">
        <f>SĐT!C53</f>
        <v>3023387.3537579095</v>
      </c>
      <c r="D19" s="65">
        <f>+C19*D$6</f>
        <v>151169.36768789549</v>
      </c>
      <c r="E19" s="65">
        <f>+C19*E$6</f>
        <v>302338.73537579097</v>
      </c>
      <c r="F19" s="65">
        <f t="shared" si="4"/>
        <v>170367.8773842582</v>
      </c>
      <c r="G19" s="83"/>
      <c r="H19" s="83"/>
      <c r="I19" s="65">
        <f>+(C19+D19+E19)*0.7*I$6</f>
        <v>170367.8773842582</v>
      </c>
      <c r="J19" s="64" t="s">
        <v>33</v>
      </c>
    </row>
    <row r="20" spans="1:10" s="1" customFormat="1" ht="31.2" x14ac:dyDescent="0.35">
      <c r="A20" s="78">
        <v>2</v>
      </c>
      <c r="B20" s="79" t="s">
        <v>71</v>
      </c>
      <c r="C20" s="80">
        <f>SĐT!C54</f>
        <v>4636363.6363636358</v>
      </c>
      <c r="D20" s="65">
        <f>+C20*D$6</f>
        <v>231818.18181818179</v>
      </c>
      <c r="E20" s="65">
        <f>+C20*E$6</f>
        <v>463636.36363636359</v>
      </c>
      <c r="F20" s="65">
        <f t="shared" si="4"/>
        <v>261259.09090909085</v>
      </c>
      <c r="G20" s="83"/>
      <c r="H20" s="83"/>
      <c r="I20" s="65">
        <f>+(C20+D20+E20)*0.7*I$6</f>
        <v>261259.09090909085</v>
      </c>
      <c r="J20" s="64" t="str">
        <f>+J19</f>
        <v>Vay 70% trong năm</v>
      </c>
    </row>
    <row r="21" spans="1:10" s="1" customFormat="1" ht="18" hidden="1" x14ac:dyDescent="0.35">
      <c r="A21" s="70"/>
      <c r="B21" s="64"/>
      <c r="C21" s="65"/>
      <c r="D21" s="65"/>
      <c r="E21" s="65"/>
      <c r="F21" s="65"/>
      <c r="G21" s="59"/>
      <c r="H21" s="59"/>
      <c r="I21" s="59"/>
      <c r="J21" s="64"/>
    </row>
    <row r="22" spans="1:10" s="1" customFormat="1" ht="18" x14ac:dyDescent="0.35">
      <c r="A22" s="70"/>
      <c r="B22" s="64"/>
      <c r="C22" s="65"/>
      <c r="D22" s="65"/>
      <c r="E22" s="65"/>
      <c r="F22" s="65"/>
      <c r="G22" s="59"/>
      <c r="H22" s="59"/>
      <c r="I22" s="59"/>
      <c r="J22" s="64"/>
    </row>
    <row r="23" spans="1:10" x14ac:dyDescent="0.3">
      <c r="A23" s="71"/>
      <c r="B23" s="67"/>
      <c r="C23" s="67"/>
      <c r="D23" s="67"/>
      <c r="E23" s="67"/>
      <c r="F23" s="67"/>
      <c r="G23" s="67"/>
      <c r="H23" s="67"/>
      <c r="I23" s="67"/>
      <c r="J23" s="67"/>
    </row>
    <row r="24" spans="1:10" s="1" customFormat="1" ht="35.25" customHeight="1" x14ac:dyDescent="0.35">
      <c r="A24" s="70"/>
      <c r="B24" s="59"/>
      <c r="C24" s="164" t="s">
        <v>45</v>
      </c>
      <c r="D24" s="164"/>
      <c r="E24" s="164"/>
      <c r="F24" s="164"/>
      <c r="G24" s="59"/>
      <c r="H24" s="59"/>
      <c r="I24" s="59"/>
      <c r="J24" s="59"/>
    </row>
    <row r="31" spans="1:10" x14ac:dyDescent="0.3">
      <c r="B31" s="82"/>
    </row>
  </sheetData>
  <mergeCells count="5">
    <mergeCell ref="B2:B5"/>
    <mergeCell ref="C24:F24"/>
    <mergeCell ref="F2:I2"/>
    <mergeCell ref="F3:I3"/>
    <mergeCell ref="F4:F5"/>
  </mergeCells>
  <printOptions horizontalCentered="1"/>
  <pageMargins left="0.25" right="0.25" top="0.5" bottom="0.5" header="0.3" footer="0.3"/>
  <pageSetup paperSize="9" orientation="landscape"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F7193D-2E81-4018-879E-F44BAD3D045F}">
  <dimension ref="A2:AA27"/>
  <sheetViews>
    <sheetView topLeftCell="A19" workbookViewId="0">
      <selection activeCell="F28" sqref="F28"/>
    </sheetView>
  </sheetViews>
  <sheetFormatPr defaultRowHeight="15.6" x14ac:dyDescent="0.3"/>
  <cols>
    <col min="1" max="1" width="7.33203125" style="69" customWidth="1"/>
    <col min="2" max="2" width="24.6640625" style="9" customWidth="1"/>
    <col min="3" max="3" width="11.88671875" style="38" customWidth="1"/>
    <col min="4" max="4" width="14.44140625" style="9" customWidth="1"/>
    <col min="5" max="5" width="14.44140625" style="45" customWidth="1"/>
    <col min="6" max="6" width="9.33203125" style="9" customWidth="1"/>
    <col min="7" max="7" width="9.88671875" style="51" customWidth="1"/>
    <col min="8" max="8" width="14.21875" style="9" customWidth="1"/>
    <col min="9" max="9" width="13.88671875" style="45" customWidth="1"/>
    <col min="10" max="10" width="17" style="9" customWidth="1"/>
    <col min="12" max="12" width="22.109375" customWidth="1"/>
    <col min="14" max="14" width="10.33203125" bestFit="1" customWidth="1"/>
    <col min="18" max="18" width="14.5546875" customWidth="1"/>
    <col min="19" max="19" width="13.5546875" customWidth="1"/>
    <col min="20" max="20" width="14.109375" customWidth="1"/>
    <col min="22" max="22" width="14.88671875" customWidth="1"/>
    <col min="27" max="27" width="13.109375" customWidth="1"/>
  </cols>
  <sheetData>
    <row r="2" spans="1:10" s="1" customFormat="1" ht="81.75" customHeight="1" x14ac:dyDescent="0.35">
      <c r="A2" s="57" t="s">
        <v>27</v>
      </c>
      <c r="B2" s="19" t="s">
        <v>0</v>
      </c>
      <c r="C2" s="167" t="s">
        <v>11</v>
      </c>
      <c r="D2" s="167"/>
      <c r="E2" s="167" t="s">
        <v>66</v>
      </c>
      <c r="F2" s="167"/>
      <c r="G2" s="168" t="s">
        <v>28</v>
      </c>
      <c r="H2" s="169"/>
      <c r="I2" s="167" t="s">
        <v>12</v>
      </c>
      <c r="J2" s="167"/>
    </row>
    <row r="3" spans="1:10" s="1" customFormat="1" ht="18" x14ac:dyDescent="0.35">
      <c r="A3" s="57"/>
      <c r="B3" s="19"/>
      <c r="C3" s="34" t="s">
        <v>35</v>
      </c>
      <c r="D3" s="5" t="s">
        <v>34</v>
      </c>
      <c r="E3" s="39" t="s">
        <v>35</v>
      </c>
      <c r="F3" s="5" t="s">
        <v>34</v>
      </c>
      <c r="G3" s="47" t="s">
        <v>35</v>
      </c>
      <c r="H3" s="5" t="s">
        <v>34</v>
      </c>
      <c r="I3" s="39" t="s">
        <v>35</v>
      </c>
      <c r="J3" s="5" t="s">
        <v>34</v>
      </c>
    </row>
    <row r="4" spans="1:10" s="1" customFormat="1" ht="34.5" customHeight="1" x14ac:dyDescent="0.35">
      <c r="A4" s="4"/>
      <c r="B4" s="4">
        <v>-1</v>
      </c>
      <c r="C4" s="35">
        <v>-2</v>
      </c>
      <c r="D4" s="4">
        <v>-3</v>
      </c>
      <c r="E4" s="40">
        <v>-4</v>
      </c>
      <c r="F4" s="4">
        <v>-5</v>
      </c>
      <c r="G4" s="48">
        <v>-6</v>
      </c>
      <c r="H4" s="4">
        <v>-7</v>
      </c>
      <c r="I4" s="40">
        <v>-8</v>
      </c>
      <c r="J4" s="4">
        <v>-9</v>
      </c>
    </row>
    <row r="5" spans="1:10" s="1" customFormat="1" ht="46.8" x14ac:dyDescent="0.35">
      <c r="A5" s="57"/>
      <c r="B5" s="3"/>
      <c r="C5" s="34"/>
      <c r="D5" s="5" t="s">
        <v>47</v>
      </c>
      <c r="E5" s="41">
        <v>0.02</v>
      </c>
      <c r="F5" s="12">
        <v>7.0000000000000007E-2</v>
      </c>
      <c r="G5" s="47">
        <v>20</v>
      </c>
      <c r="H5" s="13">
        <v>45</v>
      </c>
      <c r="I5" s="39" t="s">
        <v>56</v>
      </c>
      <c r="J5" s="3" t="s">
        <v>57</v>
      </c>
    </row>
    <row r="6" spans="1:10" s="1" customFormat="1" ht="31.2" x14ac:dyDescent="0.35">
      <c r="A6" s="72"/>
      <c r="B6" s="73" t="s">
        <v>74</v>
      </c>
      <c r="C6" s="34"/>
      <c r="D6" s="5"/>
      <c r="E6" s="39"/>
      <c r="F6" s="12"/>
      <c r="G6" s="47"/>
      <c r="H6" s="12"/>
      <c r="I6" s="39"/>
      <c r="J6" s="3"/>
    </row>
    <row r="7" spans="1:10" s="1" customFormat="1" ht="18" x14ac:dyDescent="0.35">
      <c r="A7" s="72">
        <v>1</v>
      </c>
      <c r="B7" s="75" t="s">
        <v>75</v>
      </c>
      <c r="C7" s="36">
        <f>SĐT!Q11</f>
        <v>5725787.1008103779</v>
      </c>
      <c r="D7" s="6">
        <f>SĐT!R11</f>
        <v>7010186.4586627455</v>
      </c>
      <c r="E7" s="42">
        <f>E5</f>
        <v>0.02</v>
      </c>
      <c r="F7" s="8">
        <f>F5</f>
        <v>7.0000000000000007E-2</v>
      </c>
      <c r="G7" s="49">
        <f>G5</f>
        <v>20</v>
      </c>
      <c r="H7" s="53">
        <f>H5</f>
        <v>45</v>
      </c>
      <c r="I7" s="44">
        <f>IFERROR((C7*E7*(1+E7)^H7)/((1+E7)^H7-1),0)</f>
        <v>194159.24244482542</v>
      </c>
      <c r="J7" s="7">
        <f>(D7*F7*(1+F7)^G7)/((1+F7)^G7-1)</f>
        <v>661712.00983892917</v>
      </c>
    </row>
    <row r="8" spans="1:10" s="1" customFormat="1" ht="18" x14ac:dyDescent="0.35">
      <c r="A8" s="72">
        <v>2</v>
      </c>
      <c r="B8" s="75" t="s">
        <v>76</v>
      </c>
      <c r="C8" s="36">
        <f>SĐT!Q12</f>
        <v>7490231.5813777801</v>
      </c>
      <c r="D8" s="6">
        <f>SĐT!R12</f>
        <v>9170428.2886436787</v>
      </c>
      <c r="E8" s="42">
        <f>E5</f>
        <v>0.02</v>
      </c>
      <c r="F8" s="8">
        <f>F5</f>
        <v>7.0000000000000007E-2</v>
      </c>
      <c r="G8" s="49">
        <f>G5</f>
        <v>20</v>
      </c>
      <c r="H8" s="53">
        <f>H5</f>
        <v>45</v>
      </c>
      <c r="I8" s="44">
        <f>IFERROR((C8*E8*(1+E8)^H8)/((1+E8)^H8-1),0)</f>
        <v>253990.87740631995</v>
      </c>
      <c r="J8" s="7">
        <f>(D8*F8*(1+F8)^G8)/((1+F8)^G8-1)</f>
        <v>865623.55648379424</v>
      </c>
    </row>
    <row r="9" spans="1:10" s="1" customFormat="1" ht="18" x14ac:dyDescent="0.35">
      <c r="A9" s="72">
        <v>3</v>
      </c>
      <c r="B9" s="76" t="s">
        <v>77</v>
      </c>
      <c r="C9" s="36">
        <f>SĐT!Q13</f>
        <v>7964265.0187376887</v>
      </c>
      <c r="D9" s="6">
        <f>SĐT!R13</f>
        <v>9942166.9100857675</v>
      </c>
      <c r="E9" s="42">
        <f>E5</f>
        <v>0.02</v>
      </c>
      <c r="F9" s="8">
        <f>F5</f>
        <v>7.0000000000000007E-2</v>
      </c>
      <c r="G9" s="49">
        <f>G5</f>
        <v>20</v>
      </c>
      <c r="H9" s="53">
        <f>H5</f>
        <v>45</v>
      </c>
      <c r="I9" s="44">
        <f>IFERROR((C9*E9*(1+E9)^H9)/((1+E9)^H9-1),0)</f>
        <v>270065.16928459989</v>
      </c>
      <c r="J9" s="7">
        <f>(D9*F9*(1+F9)^G9)/((1+F9)^G9-1)</f>
        <v>938470.22287077981</v>
      </c>
    </row>
    <row r="10" spans="1:10" s="1" customFormat="1" ht="46.8" x14ac:dyDescent="0.35">
      <c r="A10" s="77"/>
      <c r="B10" s="73" t="s">
        <v>78</v>
      </c>
      <c r="C10" s="34"/>
      <c r="D10" s="5"/>
      <c r="E10" s="41"/>
      <c r="F10" s="12"/>
      <c r="G10" s="47"/>
      <c r="H10" s="12"/>
      <c r="I10" s="39"/>
      <c r="J10" s="3"/>
    </row>
    <row r="11" spans="1:10" s="1" customFormat="1" ht="18" x14ac:dyDescent="0.35">
      <c r="A11" s="96">
        <v>1</v>
      </c>
      <c r="B11" s="92" t="s">
        <v>75</v>
      </c>
      <c r="C11" s="36">
        <f>SĐT!Q46</f>
        <v>5278033.2545251753</v>
      </c>
      <c r="D11" s="6">
        <f>SĐT!R46</f>
        <v>6285983.4039560445</v>
      </c>
      <c r="E11" s="42">
        <f>E5</f>
        <v>0.02</v>
      </c>
      <c r="F11" s="8">
        <f>F5</f>
        <v>7.0000000000000007E-2</v>
      </c>
      <c r="G11" s="49">
        <f>G5</f>
        <v>20</v>
      </c>
      <c r="H11" s="53">
        <f>H5</f>
        <v>45</v>
      </c>
      <c r="I11" s="44">
        <f>IFERROR((C11*E11*(1+E11)^H11)/((1+E11)^H11-1),0)</f>
        <v>178976.08141108954</v>
      </c>
      <c r="J11" s="7">
        <f>(D11*F11*(1+F11)^G11)/((1+F11)^G11-1)</f>
        <v>593352.3646729606</v>
      </c>
    </row>
    <row r="12" spans="1:10" s="1" customFormat="1" ht="18" x14ac:dyDescent="0.35">
      <c r="A12" s="90">
        <v>2</v>
      </c>
      <c r="B12" s="92" t="s">
        <v>82</v>
      </c>
      <c r="C12" s="36">
        <f>SĐT!Q47</f>
        <v>5435318.6455100263</v>
      </c>
      <c r="D12" s="6">
        <f>SĐT!R47</f>
        <v>6460710.3432481252</v>
      </c>
      <c r="E12" s="42">
        <f>E5</f>
        <v>0.02</v>
      </c>
      <c r="F12" s="8">
        <f>F5</f>
        <v>7.0000000000000007E-2</v>
      </c>
      <c r="G12" s="49">
        <f>G5</f>
        <v>20</v>
      </c>
      <c r="H12" s="53">
        <f>H5</f>
        <v>45</v>
      </c>
      <c r="I12" s="44">
        <f>IFERROR((C12*E12*(1+E12)^H12)/((1+E12)^H12-1),0)</f>
        <v>184309.56863714007</v>
      </c>
      <c r="J12" s="7">
        <f>(D12*F12*(1+F12)^G12)/((1+F12)^G12-1)</f>
        <v>609845.35167890438</v>
      </c>
    </row>
    <row r="13" spans="1:10" s="1" customFormat="1" ht="18" x14ac:dyDescent="0.35">
      <c r="A13" s="90">
        <v>3</v>
      </c>
      <c r="B13" s="92" t="s">
        <v>79</v>
      </c>
      <c r="C13" s="36">
        <f>SĐT!Q48</f>
        <v>5597169.0868722098</v>
      </c>
      <c r="D13" s="6">
        <f>SĐT!R48</f>
        <v>6653094.43124115</v>
      </c>
      <c r="E13" s="42">
        <f>E5</f>
        <v>0.02</v>
      </c>
      <c r="F13" s="8">
        <f>F5</f>
        <v>7.0000000000000007E-2</v>
      </c>
      <c r="G13" s="49">
        <f>G5</f>
        <v>20</v>
      </c>
      <c r="H13" s="53">
        <f>H5</f>
        <v>45</v>
      </c>
      <c r="I13" s="44">
        <f>IFERROR((C13*E13*(1+E13)^H13)/((1+E13)^H13-1),0)</f>
        <v>189797.8549689519</v>
      </c>
      <c r="J13" s="7">
        <f>(D13*F13*(1+F13)^G13)/((1+F13)^G13-1)</f>
        <v>628005.04861101392</v>
      </c>
    </row>
    <row r="14" spans="1:10" s="1" customFormat="1" ht="31.2" x14ac:dyDescent="0.35">
      <c r="A14" s="77"/>
      <c r="B14" s="73" t="s">
        <v>80</v>
      </c>
      <c r="C14" s="34"/>
      <c r="D14" s="5"/>
      <c r="E14" s="39"/>
      <c r="F14" s="12"/>
      <c r="G14" s="47"/>
      <c r="H14" s="12"/>
      <c r="I14" s="39"/>
      <c r="J14" s="3"/>
    </row>
    <row r="15" spans="1:10" s="1" customFormat="1" ht="18" x14ac:dyDescent="0.35">
      <c r="A15" s="72">
        <v>1</v>
      </c>
      <c r="B15" s="75" t="s">
        <v>72</v>
      </c>
      <c r="C15" s="36">
        <f>SĐT!Q50</f>
        <v>4928345.9394784803</v>
      </c>
      <c r="D15" s="6">
        <f>SĐT!R50</f>
        <v>5915442.9367133211</v>
      </c>
      <c r="E15" s="42">
        <f>E5</f>
        <v>0.02</v>
      </c>
      <c r="F15" s="8">
        <f>F5</f>
        <v>7.0000000000000007E-2</v>
      </c>
      <c r="G15" s="49">
        <f>G5</f>
        <v>20</v>
      </c>
      <c r="H15" s="53">
        <f>H5</f>
        <v>45</v>
      </c>
      <c r="I15" s="44">
        <f>IFERROR((C15*E15*(1+E15)^H15)/((1+E15)^H15-1),0)</f>
        <v>167118.31880367055</v>
      </c>
      <c r="J15" s="7">
        <f>(D15*F15*(1+F15)^G15)/((1+F15)^G15-1)</f>
        <v>558375.96586364694</v>
      </c>
    </row>
    <row r="16" spans="1:10" s="1" customFormat="1" ht="18" x14ac:dyDescent="0.35">
      <c r="A16" s="72">
        <v>2</v>
      </c>
      <c r="B16" s="75" t="s">
        <v>73</v>
      </c>
      <c r="C16" s="36">
        <f>SĐT!Q51</f>
        <v>5073297.2906396119</v>
      </c>
      <c r="D16" s="6">
        <f>SĐT!R51</f>
        <v>6089426.5524990084</v>
      </c>
      <c r="E16" s="42">
        <f>E5</f>
        <v>0.02</v>
      </c>
      <c r="F16" s="8">
        <f>F5</f>
        <v>7.0000000000000007E-2</v>
      </c>
      <c r="G16" s="49">
        <f>G5</f>
        <v>20</v>
      </c>
      <c r="H16" s="53">
        <f>H5</f>
        <v>45</v>
      </c>
      <c r="I16" s="44">
        <f>IFERROR((C16*E16*(1+E16)^H16)/((1+E16)^H16-1),0)</f>
        <v>172033.56347436676</v>
      </c>
      <c r="J16" s="7">
        <f>(D16*F16*(1+F16)^G16)/((1+F16)^G16-1)</f>
        <v>574798.78838904854</v>
      </c>
    </row>
    <row r="17" spans="1:27" s="1" customFormat="1" ht="18" x14ac:dyDescent="0.35">
      <c r="A17" s="77"/>
      <c r="B17" s="73" t="s">
        <v>81</v>
      </c>
      <c r="C17" s="34"/>
      <c r="D17" s="5"/>
      <c r="E17" s="39"/>
      <c r="F17" s="12"/>
      <c r="G17" s="47"/>
      <c r="H17" s="12"/>
      <c r="I17" s="39"/>
      <c r="J17" s="3"/>
    </row>
    <row r="18" spans="1:27" s="1" customFormat="1" ht="18" x14ac:dyDescent="0.35">
      <c r="A18" s="78">
        <v>1</v>
      </c>
      <c r="B18" s="79" t="s">
        <v>70</v>
      </c>
      <c r="C18" s="36">
        <f>SĐT!Q53</f>
        <v>3213789.934745044</v>
      </c>
      <c r="D18" s="6">
        <f>SĐT!R53</f>
        <v>3857479.0006684642</v>
      </c>
      <c r="E18" s="42">
        <f>+E5</f>
        <v>0.02</v>
      </c>
      <c r="F18" s="8">
        <f>+F5</f>
        <v>7.0000000000000007E-2</v>
      </c>
      <c r="G18" s="49">
        <f>+G5</f>
        <v>20</v>
      </c>
      <c r="H18" s="14">
        <f>+H5</f>
        <v>45</v>
      </c>
      <c r="I18" s="44">
        <f>IFERROR((C18*E18*(1+E18)^H18)/((1+E18)^H18-1),0)</f>
        <v>108978.38290539812</v>
      </c>
      <c r="J18" s="7">
        <f>(D18*F18*(1+F18)^G18)/((1+F18)^G18-1)</f>
        <v>364118.72886626655</v>
      </c>
    </row>
    <row r="19" spans="1:27" s="1" customFormat="1" ht="18" x14ac:dyDescent="0.35">
      <c r="A19" s="78">
        <v>2</v>
      </c>
      <c r="B19" s="79" t="s">
        <v>71</v>
      </c>
      <c r="C19" s="36">
        <f>SĐT!Q54</f>
        <v>4928345.9394784803</v>
      </c>
      <c r="D19" s="6">
        <f>SĐT!R54</f>
        <v>5915442.9367133211</v>
      </c>
      <c r="E19" s="42">
        <f>E5</f>
        <v>0.02</v>
      </c>
      <c r="F19" s="8">
        <f>F5</f>
        <v>7.0000000000000007E-2</v>
      </c>
      <c r="G19" s="49">
        <f>G5</f>
        <v>20</v>
      </c>
      <c r="H19" s="53">
        <f>H5</f>
        <v>45</v>
      </c>
      <c r="I19" s="44">
        <f>IFERROR((C19*E19*(1+E19)^H19)/((1+E19)^H19-1),0)</f>
        <v>167118.31880367055</v>
      </c>
      <c r="J19" s="7">
        <f>(D19*F19*(1+F19)^G19)/((1+F19)^G19-1)</f>
        <v>558375.96586364694</v>
      </c>
    </row>
    <row r="20" spans="1:27" ht="31.2" hidden="1" x14ac:dyDescent="0.3">
      <c r="B20" s="15" t="str">
        <f>+SĐT!B8</f>
        <v>24 &lt; số tầng ≤30 không có tầng hầm</v>
      </c>
      <c r="C20" s="37"/>
      <c r="D20" s="16">
        <f>+SĐT!R8</f>
        <v>0</v>
      </c>
      <c r="E20" s="43"/>
      <c r="F20" s="17">
        <v>0.05</v>
      </c>
      <c r="G20" s="50" t="e">
        <f>+#REF!</f>
        <v>#REF!</v>
      </c>
      <c r="H20" s="17"/>
      <c r="I20" s="43"/>
      <c r="J20" s="18" t="e">
        <f>(D20*F20*(1+F20)^G21)/((1+F20)^G21-1)</f>
        <v>#REF!</v>
      </c>
      <c r="X20" s="2" t="e">
        <f>+#REF!/#REF!</f>
        <v>#REF!</v>
      </c>
      <c r="Y20">
        <v>1.05</v>
      </c>
      <c r="Z20" s="2" t="e">
        <f>+Y20*X20</f>
        <v>#REF!</v>
      </c>
      <c r="AA20" s="2" t="e">
        <f>+#REF!+Z20</f>
        <v>#REF!</v>
      </c>
    </row>
    <row r="21" spans="1:27" ht="31.2" hidden="1" x14ac:dyDescent="0.3">
      <c r="B21" s="11" t="str">
        <f>+SĐT!B9</f>
        <v>24 &lt; số tầng ≤ 30 có 1 tầng hầm</v>
      </c>
      <c r="C21" s="34"/>
      <c r="D21" s="6">
        <f>+SĐT!R9</f>
        <v>0</v>
      </c>
      <c r="E21" s="44"/>
      <c r="F21" s="8">
        <v>0.05</v>
      </c>
      <c r="G21" s="49" t="e">
        <f>+#REF!</f>
        <v>#REF!</v>
      </c>
      <c r="H21" s="8"/>
      <c r="I21" s="44"/>
      <c r="J21" s="7" t="e">
        <f>(D21*F21*(1+F21)^G21)/((1+F21)^G21-1)</f>
        <v>#REF!</v>
      </c>
      <c r="X21" s="2" t="e">
        <f>+#REF!-996691</f>
        <v>#REF!</v>
      </c>
    </row>
    <row r="22" spans="1:27" x14ac:dyDescent="0.3">
      <c r="X22" s="2" t="e">
        <f>+X21/#REF!</f>
        <v>#REF!</v>
      </c>
      <c r="Z22" t="e">
        <f>+X22*Y20</f>
        <v>#REF!</v>
      </c>
      <c r="AA22" s="2" t="e">
        <f>+Z22+#REF!</f>
        <v>#REF!</v>
      </c>
    </row>
    <row r="24" spans="1:27" x14ac:dyDescent="0.3">
      <c r="D24" s="10"/>
      <c r="E24" s="46"/>
    </row>
    <row r="25" spans="1:27" x14ac:dyDescent="0.3">
      <c r="V25" s="2" t="e">
        <f>+#REF!</f>
        <v>#REF!</v>
      </c>
      <c r="W25" s="2" t="e">
        <f>+Thuê!#REF!</f>
        <v>#REF!</v>
      </c>
      <c r="X25" s="2" t="e">
        <f>+W25+V25</f>
        <v>#REF!</v>
      </c>
    </row>
    <row r="26" spans="1:27" x14ac:dyDescent="0.3">
      <c r="X26" t="e">
        <f>+X25/#REF!</f>
        <v>#REF!</v>
      </c>
      <c r="Y26">
        <v>1.05</v>
      </c>
      <c r="Z26" s="2" t="e">
        <f>+Y26*X26</f>
        <v>#REF!</v>
      </c>
      <c r="AA26" s="2" t="e">
        <f>+Z25+Z26</f>
        <v>#REF!</v>
      </c>
    </row>
    <row r="27" spans="1:27" x14ac:dyDescent="0.3">
      <c r="Z27" s="2" t="e">
        <f>+Thuê!#REF!/12</f>
        <v>#REF!</v>
      </c>
      <c r="AA27" s="2" t="e">
        <f>+AA26+Z27</f>
        <v>#REF!</v>
      </c>
    </row>
  </sheetData>
  <mergeCells count="4">
    <mergeCell ref="C2:D2"/>
    <mergeCell ref="I2:J2"/>
    <mergeCell ref="G2:H2"/>
    <mergeCell ref="E2:F2"/>
  </mergeCells>
  <printOptions horizontalCentered="1"/>
  <pageMargins left="0.45" right="0.25" top="0.5" bottom="0.5" header="0.3" footer="0.3"/>
  <pageSetup paperSize="9" orientation="landscape"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AB4092-7416-4B3B-8AC1-0EFBA96214C2}">
  <dimension ref="A2:Q23"/>
  <sheetViews>
    <sheetView zoomScale="85" zoomScaleNormal="85" workbookViewId="0">
      <selection activeCell="X9" sqref="X9"/>
    </sheetView>
  </sheetViews>
  <sheetFormatPr defaultRowHeight="14.4" x14ac:dyDescent="0.3"/>
  <cols>
    <col min="1" max="1" width="5" style="68" customWidth="1"/>
    <col min="2" max="2" width="24.21875" customWidth="1"/>
    <col min="3" max="3" width="9.5546875" style="52" customWidth="1"/>
    <col min="4" max="4" width="9.5546875" customWidth="1"/>
    <col min="5" max="5" width="8.109375" style="52" customWidth="1"/>
    <col min="6" max="6" width="8.109375" customWidth="1"/>
    <col min="7" max="7" width="8.109375" style="52" customWidth="1"/>
    <col min="8" max="8" width="8.109375" customWidth="1"/>
    <col min="9" max="11" width="5.6640625" customWidth="1"/>
    <col min="12" max="12" width="8.6640625" style="52" customWidth="1"/>
    <col min="13" max="13" width="8.6640625" customWidth="1"/>
    <col min="14" max="15" width="12.44140625" hidden="1" customWidth="1"/>
    <col min="16" max="16" width="9.33203125" style="52" customWidth="1"/>
    <col min="17" max="17" width="9.33203125" customWidth="1"/>
    <col min="19" max="19" width="9.88671875" bestFit="1" customWidth="1"/>
    <col min="21" max="21" width="14.6640625" customWidth="1"/>
  </cols>
  <sheetData>
    <row r="2" spans="1:17" s="1" customFormat="1" ht="37.799999999999997" customHeight="1" x14ac:dyDescent="0.35">
      <c r="A2" s="170" t="s">
        <v>27</v>
      </c>
      <c r="B2" s="170" t="s">
        <v>0</v>
      </c>
      <c r="C2" s="171" t="s">
        <v>4</v>
      </c>
      <c r="D2" s="171"/>
      <c r="E2" s="171" t="s">
        <v>26</v>
      </c>
      <c r="F2" s="171"/>
      <c r="G2" s="171" t="s">
        <v>6</v>
      </c>
      <c r="H2" s="171"/>
      <c r="I2" s="55" t="s">
        <v>5</v>
      </c>
      <c r="J2" s="84" t="s">
        <v>8</v>
      </c>
      <c r="K2" s="55" t="s">
        <v>14</v>
      </c>
      <c r="L2" s="170" t="s">
        <v>7</v>
      </c>
      <c r="M2" s="170"/>
      <c r="N2" s="171" t="s">
        <v>15</v>
      </c>
      <c r="O2" s="171"/>
      <c r="P2" s="171" t="s">
        <v>15</v>
      </c>
      <c r="Q2" s="171"/>
    </row>
    <row r="3" spans="1:17" s="1" customFormat="1" ht="18" x14ac:dyDescent="0.35">
      <c r="A3" s="170"/>
      <c r="B3" s="170"/>
      <c r="C3" s="29" t="s">
        <v>35</v>
      </c>
      <c r="D3" s="22" t="s">
        <v>34</v>
      </c>
      <c r="E3" s="29" t="s">
        <v>35</v>
      </c>
      <c r="F3" s="22" t="s">
        <v>34</v>
      </c>
      <c r="G3" s="29" t="s">
        <v>35</v>
      </c>
      <c r="H3" s="22" t="s">
        <v>34</v>
      </c>
      <c r="I3" s="55"/>
      <c r="J3" s="84"/>
      <c r="K3" s="55"/>
      <c r="L3" s="29" t="s">
        <v>35</v>
      </c>
      <c r="M3" s="22" t="s">
        <v>34</v>
      </c>
      <c r="N3" s="22" t="s">
        <v>35</v>
      </c>
      <c r="O3" s="22" t="s">
        <v>34</v>
      </c>
      <c r="P3" s="29" t="s">
        <v>35</v>
      </c>
      <c r="Q3" s="22" t="s">
        <v>34</v>
      </c>
    </row>
    <row r="4" spans="1:17" s="1" customFormat="1" ht="18" x14ac:dyDescent="0.35">
      <c r="A4" s="170"/>
      <c r="B4" s="170"/>
      <c r="C4" s="33"/>
      <c r="D4" s="20"/>
      <c r="E4" s="32">
        <v>0.02</v>
      </c>
      <c r="F4" s="21">
        <v>0.1</v>
      </c>
      <c r="G4" s="85">
        <v>8.0000000000000004E-4</v>
      </c>
      <c r="H4" s="86">
        <v>1E-3</v>
      </c>
      <c r="I4" s="87">
        <v>0.05</v>
      </c>
      <c r="J4" s="84" t="s">
        <v>13</v>
      </c>
      <c r="K4" s="55">
        <v>1</v>
      </c>
      <c r="L4" s="28"/>
      <c r="M4" s="55"/>
      <c r="N4" s="20"/>
      <c r="O4" s="20"/>
      <c r="P4" s="74"/>
      <c r="Q4" s="26"/>
    </row>
    <row r="5" spans="1:17" s="1" customFormat="1" ht="18" x14ac:dyDescent="0.35">
      <c r="A5" s="170"/>
      <c r="B5" s="170"/>
      <c r="C5" s="88">
        <v>-1</v>
      </c>
      <c r="D5" s="89">
        <v>-2</v>
      </c>
      <c r="E5" s="88">
        <v>-3</v>
      </c>
      <c r="F5" s="89">
        <v>-4</v>
      </c>
      <c r="G5" s="88">
        <v>-5</v>
      </c>
      <c r="H5" s="89">
        <v>-6</v>
      </c>
      <c r="I5" s="89">
        <v>-7</v>
      </c>
      <c r="J5" s="89">
        <v>-8</v>
      </c>
      <c r="K5" s="89">
        <v>-9</v>
      </c>
      <c r="L5" s="88">
        <v>-10</v>
      </c>
      <c r="M5" s="89">
        <v>-11</v>
      </c>
      <c r="N5" s="89">
        <v>-12</v>
      </c>
      <c r="O5" s="89">
        <v>-13</v>
      </c>
      <c r="P5" s="74"/>
      <c r="Q5" s="26"/>
    </row>
    <row r="6" spans="1:17" s="1" customFormat="1" ht="66" x14ac:dyDescent="0.35">
      <c r="A6" s="55"/>
      <c r="B6" s="55"/>
      <c r="C6" s="88"/>
      <c r="D6" s="89"/>
      <c r="E6" s="88" t="s">
        <v>51</v>
      </c>
      <c r="F6" s="89" t="s">
        <v>50</v>
      </c>
      <c r="G6" s="88" t="s">
        <v>52</v>
      </c>
      <c r="H6" s="89" t="s">
        <v>53</v>
      </c>
      <c r="I6" s="89"/>
      <c r="J6" s="89"/>
      <c r="K6" s="89"/>
      <c r="L6" s="88" t="s">
        <v>54</v>
      </c>
      <c r="M6" s="89" t="s">
        <v>55</v>
      </c>
      <c r="N6" s="89" t="s">
        <v>48</v>
      </c>
      <c r="O6" s="89" t="s">
        <v>49</v>
      </c>
      <c r="P6" s="89" t="s">
        <v>67</v>
      </c>
      <c r="Q6" s="89" t="s">
        <v>49</v>
      </c>
    </row>
    <row r="7" spans="1:17" s="1" customFormat="1" ht="18" x14ac:dyDescent="0.35">
      <c r="A7" s="90"/>
      <c r="B7" s="91" t="s">
        <v>74</v>
      </c>
      <c r="C7" s="88"/>
      <c r="D7" s="89"/>
      <c r="E7" s="88"/>
      <c r="F7" s="89"/>
      <c r="G7" s="88"/>
      <c r="H7" s="89"/>
      <c r="I7" s="89"/>
      <c r="J7" s="89"/>
      <c r="K7" s="89"/>
      <c r="L7" s="88"/>
      <c r="M7" s="89"/>
      <c r="N7" s="89"/>
      <c r="O7" s="89"/>
      <c r="P7" s="89"/>
      <c r="Q7" s="89"/>
    </row>
    <row r="8" spans="1:17" s="1" customFormat="1" ht="18" x14ac:dyDescent="0.35">
      <c r="A8" s="90">
        <v>1</v>
      </c>
      <c r="B8" s="92" t="s">
        <v>75</v>
      </c>
      <c r="C8" s="30">
        <f>+SĐT!Q11</f>
        <v>5725787.1008103779</v>
      </c>
      <c r="D8" s="23">
        <f>+SĐT!R11</f>
        <v>7010186.4586627455</v>
      </c>
      <c r="E8" s="30">
        <f t="shared" ref="E8" si="0">+C8*$E$4</f>
        <v>114515.74201620756</v>
      </c>
      <c r="F8" s="23">
        <f t="shared" ref="F8" si="1">+D8*$F$4</f>
        <v>701018.6458662746</v>
      </c>
      <c r="G8" s="30">
        <f t="shared" ref="G8" si="2">+C8*G$4</f>
        <v>4580.6296806483024</v>
      </c>
      <c r="H8" s="25">
        <f t="shared" ref="H8" si="3">+D8*H$4</f>
        <v>7010.1864586627453</v>
      </c>
      <c r="I8" s="24">
        <v>0.05</v>
      </c>
      <c r="J8" s="24">
        <v>1</v>
      </c>
      <c r="K8" s="24">
        <v>1</v>
      </c>
      <c r="L8" s="30">
        <f>Vđ!I7</f>
        <v>194159.24244482542</v>
      </c>
      <c r="M8" s="23">
        <f>Vđ!J7</f>
        <v>661712.00983892917</v>
      </c>
      <c r="N8" s="25">
        <f t="shared" ref="N8" si="4">((L8+E8+G8)/12*J8)*K8*(1+I8)</f>
        <v>27409.866237397113</v>
      </c>
      <c r="O8" s="25">
        <f t="shared" ref="O8" si="5">((M8+F8+H8)/12*K8)*K8*(1+I8)</f>
        <v>119852.32368933833</v>
      </c>
      <c r="P8" s="30">
        <f t="shared" ref="P8" si="6">ROUND(N8,-2)</f>
        <v>27400</v>
      </c>
      <c r="Q8" s="25">
        <f t="shared" ref="Q8" si="7">ROUND(O8,-2)</f>
        <v>119900</v>
      </c>
    </row>
    <row r="9" spans="1:17" s="1" customFormat="1" ht="18" x14ac:dyDescent="0.35">
      <c r="A9" s="90">
        <v>2</v>
      </c>
      <c r="B9" s="92" t="s">
        <v>76</v>
      </c>
      <c r="C9" s="30">
        <f>+SĐT!Q12</f>
        <v>7490231.5813777801</v>
      </c>
      <c r="D9" s="23">
        <f>+SĐT!R12</f>
        <v>9170428.2886436787</v>
      </c>
      <c r="E9" s="30">
        <f t="shared" ref="E9:E10" si="8">+C9*$E$4</f>
        <v>149804.63162755562</v>
      </c>
      <c r="F9" s="23">
        <f t="shared" ref="F9:F10" si="9">+D9*$F$4</f>
        <v>917042.82886436791</v>
      </c>
      <c r="G9" s="30">
        <f t="shared" ref="G9:G10" si="10">+C9*G$4</f>
        <v>5992.1852651022245</v>
      </c>
      <c r="H9" s="25">
        <f t="shared" ref="H9:H10" si="11">+D9*H$4</f>
        <v>9170.4282886436795</v>
      </c>
      <c r="I9" s="24">
        <v>0.05</v>
      </c>
      <c r="J9" s="24">
        <v>1</v>
      </c>
      <c r="K9" s="24">
        <v>1</v>
      </c>
      <c r="L9" s="30">
        <f>Vđ!I8</f>
        <v>253990.87740631995</v>
      </c>
      <c r="M9" s="23">
        <f>Vđ!J8</f>
        <v>865623.55648379424</v>
      </c>
      <c r="N9" s="25">
        <f t="shared" ref="N9:N10" si="12">((L9+E9+G9)/12*J9)*K9*(1+I9)</f>
        <v>35856.423251160559</v>
      </c>
      <c r="O9" s="25">
        <f t="shared" ref="O9:O10" si="13">((M9+F9+H9)/12*K9)*K9*(1+I9)</f>
        <v>156785.7211932205</v>
      </c>
      <c r="P9" s="30">
        <f t="shared" ref="P9:P10" si="14">ROUND(N9,-2)</f>
        <v>35900</v>
      </c>
      <c r="Q9" s="25">
        <f t="shared" ref="Q9:Q10" si="15">ROUND(O9,-2)</f>
        <v>156800</v>
      </c>
    </row>
    <row r="10" spans="1:17" s="1" customFormat="1" ht="18" x14ac:dyDescent="0.35">
      <c r="A10" s="90">
        <v>3</v>
      </c>
      <c r="B10" s="93" t="s">
        <v>77</v>
      </c>
      <c r="C10" s="30">
        <f>+SĐT!Q13</f>
        <v>7964265.0187376887</v>
      </c>
      <c r="D10" s="23">
        <f>+SĐT!R13</f>
        <v>9942166.9100857675</v>
      </c>
      <c r="E10" s="30">
        <f t="shared" si="8"/>
        <v>159285.30037475377</v>
      </c>
      <c r="F10" s="23">
        <f t="shared" si="9"/>
        <v>994216.69100857677</v>
      </c>
      <c r="G10" s="30">
        <f t="shared" si="10"/>
        <v>6371.412014990151</v>
      </c>
      <c r="H10" s="25">
        <f t="shared" si="11"/>
        <v>9942.1669100857671</v>
      </c>
      <c r="I10" s="24">
        <v>0.05</v>
      </c>
      <c r="J10" s="24">
        <v>1</v>
      </c>
      <c r="K10" s="24">
        <v>1</v>
      </c>
      <c r="L10" s="30">
        <f>Vđ!I9</f>
        <v>270065.16928459989</v>
      </c>
      <c r="M10" s="23">
        <f>Vđ!J9</f>
        <v>938470.22287077981</v>
      </c>
      <c r="N10" s="25">
        <f t="shared" si="12"/>
        <v>38125.664646505087</v>
      </c>
      <c r="O10" s="25">
        <f t="shared" si="13"/>
        <v>169980.04456907621</v>
      </c>
      <c r="P10" s="30">
        <f t="shared" si="14"/>
        <v>38100</v>
      </c>
      <c r="Q10" s="25">
        <f t="shared" si="15"/>
        <v>170000</v>
      </c>
    </row>
    <row r="11" spans="1:17" s="1" customFormat="1" ht="26.4" x14ac:dyDescent="0.35">
      <c r="A11" s="77"/>
      <c r="B11" s="91" t="s">
        <v>78</v>
      </c>
      <c r="C11" s="88"/>
      <c r="D11" s="89"/>
      <c r="E11" s="88"/>
      <c r="F11" s="89"/>
      <c r="G11" s="88"/>
      <c r="H11" s="89"/>
      <c r="I11" s="89"/>
      <c r="J11" s="89"/>
      <c r="K11" s="89"/>
      <c r="L11" s="88"/>
      <c r="M11" s="89"/>
      <c r="N11" s="89"/>
      <c r="O11" s="89"/>
      <c r="P11" s="89"/>
      <c r="Q11" s="89"/>
    </row>
    <row r="12" spans="1:17" s="1" customFormat="1" ht="18" x14ac:dyDescent="0.35">
      <c r="A12" s="96">
        <v>1</v>
      </c>
      <c r="B12" s="92" t="s">
        <v>75</v>
      </c>
      <c r="C12" s="30">
        <f>+SĐT!Q46</f>
        <v>5278033.2545251753</v>
      </c>
      <c r="D12" s="23">
        <f>+SĐT!R46</f>
        <v>6285983.4039560445</v>
      </c>
      <c r="E12" s="30">
        <v>0</v>
      </c>
      <c r="F12" s="23">
        <v>0</v>
      </c>
      <c r="G12" s="30">
        <f t="shared" ref="G12" si="16">+C12*G$4</f>
        <v>4222.4266036201407</v>
      </c>
      <c r="H12" s="25">
        <f t="shared" ref="H12" si="17">+D12*H$4</f>
        <v>6285.9834039560446</v>
      </c>
      <c r="I12" s="24">
        <v>0</v>
      </c>
      <c r="J12" s="24">
        <v>1</v>
      </c>
      <c r="K12" s="24">
        <v>1</v>
      </c>
      <c r="L12" s="30">
        <f>Vđ!I11</f>
        <v>178976.08141108954</v>
      </c>
      <c r="M12" s="23">
        <f>Vđ!J11</f>
        <v>593352.3646729606</v>
      </c>
      <c r="N12" s="25">
        <f t="shared" ref="N12" si="18">((L12+E12+G12)/12*J12)*K12*(1+I12)</f>
        <v>15266.542334559141</v>
      </c>
      <c r="O12" s="25">
        <f t="shared" ref="O12" si="19">((M12+F12+H12)/12*K12)*K12*(1+I12)</f>
        <v>49969.862339743057</v>
      </c>
      <c r="P12" s="30">
        <f t="shared" ref="P12" si="20">ROUND(N12,-2)</f>
        <v>15300</v>
      </c>
      <c r="Q12" s="25">
        <f t="shared" ref="Q12" si="21">ROUND(O12,-2)</f>
        <v>50000</v>
      </c>
    </row>
    <row r="13" spans="1:17" s="1" customFormat="1" ht="18" x14ac:dyDescent="0.35">
      <c r="A13" s="90">
        <v>2</v>
      </c>
      <c r="B13" s="92" t="s">
        <v>82</v>
      </c>
      <c r="C13" s="30">
        <f>+SĐT!Q47</f>
        <v>5435318.6455100263</v>
      </c>
      <c r="D13" s="23">
        <f>+SĐT!R47</f>
        <v>6460710.3432481252</v>
      </c>
      <c r="E13" s="30">
        <v>0</v>
      </c>
      <c r="F13" s="23">
        <v>0</v>
      </c>
      <c r="G13" s="30">
        <f t="shared" ref="G13:G14" si="22">+C13*G$4</f>
        <v>4348.254916408021</v>
      </c>
      <c r="H13" s="25">
        <f t="shared" ref="H13:H14" si="23">+D13*H$4</f>
        <v>6460.7103432481254</v>
      </c>
      <c r="I13" s="24">
        <v>0</v>
      </c>
      <c r="J13" s="24">
        <v>1</v>
      </c>
      <c r="K13" s="24">
        <v>1</v>
      </c>
      <c r="L13" s="30">
        <f>Vđ!I12</f>
        <v>184309.56863714007</v>
      </c>
      <c r="M13" s="23">
        <f>Vđ!J12</f>
        <v>609845.35167890438</v>
      </c>
      <c r="N13" s="25">
        <f t="shared" ref="N13:N14" si="24">((L13+E13+G13)/12*J13)*K13*(1+I13)</f>
        <v>15721.485296129007</v>
      </c>
      <c r="O13" s="25">
        <f t="shared" ref="O13:O14" si="25">((M13+F13+H13)/12*K13)*K13*(1+I13)</f>
        <v>51358.838501846039</v>
      </c>
      <c r="P13" s="30">
        <f t="shared" ref="P13:P14" si="26">ROUND(N13,-2)</f>
        <v>15700</v>
      </c>
      <c r="Q13" s="25">
        <f t="shared" ref="Q13:Q14" si="27">ROUND(O13,-2)</f>
        <v>51400</v>
      </c>
    </row>
    <row r="14" spans="1:17" s="1" customFormat="1" ht="18" x14ac:dyDescent="0.35">
      <c r="A14" s="90">
        <v>3</v>
      </c>
      <c r="B14" s="92" t="s">
        <v>79</v>
      </c>
      <c r="C14" s="30">
        <f>+SĐT!Q48</f>
        <v>5597169.0868722098</v>
      </c>
      <c r="D14" s="23">
        <f>+SĐT!R48</f>
        <v>6653094.43124115</v>
      </c>
      <c r="E14" s="30">
        <v>0</v>
      </c>
      <c r="F14" s="23">
        <v>0</v>
      </c>
      <c r="G14" s="30">
        <f t="shared" si="22"/>
        <v>4477.7352694977681</v>
      </c>
      <c r="H14" s="25">
        <f t="shared" si="23"/>
        <v>6653.0944312411502</v>
      </c>
      <c r="I14" s="24">
        <v>0</v>
      </c>
      <c r="J14" s="24">
        <v>1</v>
      </c>
      <c r="K14" s="24">
        <v>1</v>
      </c>
      <c r="L14" s="30">
        <f>Vđ!I13</f>
        <v>189797.8549689519</v>
      </c>
      <c r="M14" s="23">
        <f>Vđ!J13</f>
        <v>628005.04861101392</v>
      </c>
      <c r="N14" s="25">
        <f t="shared" si="24"/>
        <v>16189.632519870805</v>
      </c>
      <c r="O14" s="25">
        <f t="shared" si="25"/>
        <v>52888.178586854592</v>
      </c>
      <c r="P14" s="30">
        <f t="shared" si="26"/>
        <v>16200</v>
      </c>
      <c r="Q14" s="25">
        <f t="shared" si="27"/>
        <v>52900</v>
      </c>
    </row>
    <row r="15" spans="1:17" s="1" customFormat="1" ht="18" x14ac:dyDescent="0.35">
      <c r="A15" s="77"/>
      <c r="B15" s="91" t="s">
        <v>80</v>
      </c>
      <c r="C15" s="88"/>
      <c r="D15" s="89"/>
      <c r="E15" s="88"/>
      <c r="F15" s="89"/>
      <c r="G15" s="88"/>
      <c r="H15" s="89"/>
      <c r="I15" s="89"/>
      <c r="J15" s="89"/>
      <c r="K15" s="89"/>
      <c r="L15" s="88"/>
      <c r="M15" s="89"/>
      <c r="N15" s="89"/>
      <c r="O15" s="89"/>
      <c r="P15" s="89"/>
      <c r="Q15" s="89"/>
    </row>
    <row r="16" spans="1:17" s="1" customFormat="1" ht="18" x14ac:dyDescent="0.35">
      <c r="A16" s="90">
        <v>1</v>
      </c>
      <c r="B16" s="92" t="s">
        <v>72</v>
      </c>
      <c r="C16" s="30">
        <f>+SĐT!Q50</f>
        <v>4928345.9394784803</v>
      </c>
      <c r="D16" s="23">
        <f>+SĐT!R50</f>
        <v>5915442.9367133211</v>
      </c>
      <c r="E16" s="30">
        <f t="shared" ref="E16:E17" si="28">+C16*$E$4</f>
        <v>98566.918789569609</v>
      </c>
      <c r="F16" s="23">
        <f t="shared" ref="F16:F17" si="29">+D16*$F$4</f>
        <v>591544.29367133218</v>
      </c>
      <c r="G16" s="30">
        <f t="shared" ref="G16:G17" si="30">+C16*G$4</f>
        <v>3942.6767515827846</v>
      </c>
      <c r="H16" s="25">
        <f t="shared" ref="H16:H17" si="31">+D16*H$4</f>
        <v>5915.4429367133216</v>
      </c>
      <c r="I16" s="24">
        <v>0.05</v>
      </c>
      <c r="J16" s="24">
        <v>1</v>
      </c>
      <c r="K16" s="24">
        <v>1</v>
      </c>
      <c r="L16" s="30">
        <f>Vđ!I15</f>
        <v>167118.31880367055</v>
      </c>
      <c r="M16" s="23">
        <f>Vđ!J15</f>
        <v>558375.96586364694</v>
      </c>
      <c r="N16" s="25">
        <f t="shared" ref="N16:N17" si="32">((L16+E16+G16)/12*J16)*K16*(1+I16)</f>
        <v>23592.44250517201</v>
      </c>
      <c r="O16" s="25">
        <f t="shared" ref="O16:O17" si="33">((M16+F16+H16)/12*K16)*K16*(1+I16)</f>
        <v>101135.62396627311</v>
      </c>
      <c r="P16" s="30">
        <f t="shared" ref="P16:P17" si="34">ROUND(N16,-2)</f>
        <v>23600</v>
      </c>
      <c r="Q16" s="25">
        <f t="shared" ref="Q16:Q17" si="35">ROUND(O16,-2)</f>
        <v>101100</v>
      </c>
    </row>
    <row r="17" spans="1:17" s="1" customFormat="1" ht="18" x14ac:dyDescent="0.35">
      <c r="A17" s="90">
        <v>2</v>
      </c>
      <c r="B17" s="92" t="s">
        <v>73</v>
      </c>
      <c r="C17" s="30">
        <f>+SĐT!Q51</f>
        <v>5073297.2906396119</v>
      </c>
      <c r="D17" s="23">
        <f>+SĐT!R51</f>
        <v>6089426.5524990084</v>
      </c>
      <c r="E17" s="30">
        <f t="shared" si="28"/>
        <v>101465.94581279224</v>
      </c>
      <c r="F17" s="23">
        <f t="shared" si="29"/>
        <v>608942.65524990088</v>
      </c>
      <c r="G17" s="30">
        <f t="shared" si="30"/>
        <v>4058.6378325116898</v>
      </c>
      <c r="H17" s="25">
        <f t="shared" si="31"/>
        <v>6089.4265524990087</v>
      </c>
      <c r="I17" s="24">
        <v>0.05</v>
      </c>
      <c r="J17" s="24">
        <v>1</v>
      </c>
      <c r="K17" s="24">
        <v>1</v>
      </c>
      <c r="L17" s="30">
        <f>Vđ!I16</f>
        <v>172033.56347436676</v>
      </c>
      <c r="M17" s="23">
        <f>Vđ!J16</f>
        <v>574798.78838904854</v>
      </c>
      <c r="N17" s="25">
        <f t="shared" si="32"/>
        <v>24286.337872971188</v>
      </c>
      <c r="O17" s="25">
        <f t="shared" si="33"/>
        <v>104110.20114175174</v>
      </c>
      <c r="P17" s="30">
        <f t="shared" si="34"/>
        <v>24300</v>
      </c>
      <c r="Q17" s="25">
        <f t="shared" si="35"/>
        <v>104100</v>
      </c>
    </row>
    <row r="18" spans="1:17" s="1" customFormat="1" ht="18" x14ac:dyDescent="0.35">
      <c r="A18" s="77"/>
      <c r="B18" s="91" t="s">
        <v>81</v>
      </c>
      <c r="C18" s="88"/>
      <c r="D18" s="89"/>
      <c r="E18" s="88"/>
      <c r="F18" s="89"/>
      <c r="G18" s="88"/>
      <c r="H18" s="89"/>
      <c r="I18" s="89"/>
      <c r="J18" s="89"/>
      <c r="K18" s="89"/>
      <c r="L18" s="88"/>
      <c r="M18" s="89"/>
      <c r="N18" s="89"/>
      <c r="O18" s="89"/>
      <c r="P18" s="89"/>
      <c r="Q18" s="89"/>
    </row>
    <row r="19" spans="1:17" s="1" customFormat="1" ht="18" x14ac:dyDescent="0.35">
      <c r="A19" s="94">
        <v>1</v>
      </c>
      <c r="B19" s="95" t="s">
        <v>70</v>
      </c>
      <c r="C19" s="30">
        <f>+SĐT!Q53</f>
        <v>3213789.934745044</v>
      </c>
      <c r="D19" s="23">
        <f>+SĐT!R53</f>
        <v>3857479.0006684642</v>
      </c>
      <c r="E19" s="30">
        <f t="shared" ref="E19:E20" si="36">+C19*$E$4</f>
        <v>64275.798694900885</v>
      </c>
      <c r="F19" s="23">
        <f t="shared" ref="F19:F20" si="37">+D19*$F$4</f>
        <v>385747.90006684646</v>
      </c>
      <c r="G19" s="30">
        <f t="shared" ref="G19:G20" si="38">+C19*G$4</f>
        <v>2571.0319477960352</v>
      </c>
      <c r="H19" s="25">
        <f t="shared" ref="H19:H20" si="39">+D19*H$4</f>
        <v>3857.4790006684643</v>
      </c>
      <c r="I19" s="24">
        <v>0.05</v>
      </c>
      <c r="J19" s="24">
        <v>1</v>
      </c>
      <c r="K19" s="24">
        <v>1</v>
      </c>
      <c r="L19" s="30">
        <f>Vđ!I18</f>
        <v>108978.38290539812</v>
      </c>
      <c r="M19" s="23">
        <f>Vđ!J18</f>
        <v>364118.72886626655</v>
      </c>
      <c r="N19" s="25">
        <f t="shared" ref="N19:N20" si="40">((L19+E19+G19)/12*J19)*K19*(1+I19)</f>
        <v>15384.706185458315</v>
      </c>
      <c r="O19" s="25">
        <f t="shared" ref="O19:O20" si="41">((M19+F19+H19)/12*K19)*K19*(1+I19)</f>
        <v>65950.859444205897</v>
      </c>
      <c r="P19" s="30">
        <f t="shared" ref="P19:P20" si="42">ROUND(N19,-2)</f>
        <v>15400</v>
      </c>
      <c r="Q19" s="25">
        <f t="shared" ref="Q19:Q20" si="43">ROUND(O19,-2)</f>
        <v>66000</v>
      </c>
    </row>
    <row r="20" spans="1:17" s="1" customFormat="1" ht="18" x14ac:dyDescent="0.35">
      <c r="A20" s="94">
        <v>2</v>
      </c>
      <c r="B20" s="95" t="s">
        <v>71</v>
      </c>
      <c r="C20" s="30">
        <f>+SĐT!Q54</f>
        <v>4928345.9394784803</v>
      </c>
      <c r="D20" s="23">
        <f>+SĐT!R54</f>
        <v>5915442.9367133211</v>
      </c>
      <c r="E20" s="30">
        <f t="shared" si="36"/>
        <v>98566.918789569609</v>
      </c>
      <c r="F20" s="23">
        <f t="shared" si="37"/>
        <v>591544.29367133218</v>
      </c>
      <c r="G20" s="30">
        <f t="shared" si="38"/>
        <v>3942.6767515827846</v>
      </c>
      <c r="H20" s="25">
        <f t="shared" si="39"/>
        <v>5915.4429367133216</v>
      </c>
      <c r="I20" s="24">
        <v>0.05</v>
      </c>
      <c r="J20" s="24">
        <v>1</v>
      </c>
      <c r="K20" s="24">
        <v>1</v>
      </c>
      <c r="L20" s="30">
        <f>Vđ!I19</f>
        <v>167118.31880367055</v>
      </c>
      <c r="M20" s="23">
        <f>Vđ!J19</f>
        <v>558375.96586364694</v>
      </c>
      <c r="N20" s="25">
        <f t="shared" si="40"/>
        <v>23592.44250517201</v>
      </c>
      <c r="O20" s="25">
        <f t="shared" si="41"/>
        <v>101135.62396627311</v>
      </c>
      <c r="P20" s="30">
        <f t="shared" si="42"/>
        <v>23600</v>
      </c>
      <c r="Q20" s="25">
        <f t="shared" si="43"/>
        <v>101100</v>
      </c>
    </row>
    <row r="23" spans="1:17" ht="102.6" customHeight="1" x14ac:dyDescent="0.3">
      <c r="B23" s="172" t="s">
        <v>84</v>
      </c>
      <c r="C23" s="172"/>
      <c r="D23" s="172"/>
      <c r="E23" s="172"/>
      <c r="F23" s="172"/>
      <c r="G23" s="172"/>
      <c r="H23" s="172"/>
      <c r="I23" s="172"/>
      <c r="J23" s="172"/>
      <c r="K23" s="172"/>
      <c r="L23" s="172"/>
      <c r="M23" s="172"/>
      <c r="N23" s="172"/>
      <c r="O23" s="172"/>
      <c r="P23" s="172"/>
      <c r="Q23" s="172"/>
    </row>
  </sheetData>
  <mergeCells count="9">
    <mergeCell ref="A2:A5"/>
    <mergeCell ref="C2:D2"/>
    <mergeCell ref="E2:F2"/>
    <mergeCell ref="G2:H2"/>
    <mergeCell ref="B23:Q23"/>
    <mergeCell ref="L2:M2"/>
    <mergeCell ref="N2:O2"/>
    <mergeCell ref="P2:Q2"/>
    <mergeCell ref="B2:B5"/>
  </mergeCells>
  <printOptions horizontalCentered="1"/>
  <pageMargins left="0.45" right="0.45" top="0.5" bottom="0.5" header="0.3" footer="0.3"/>
  <pageSetup paperSize="9"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SĐT</vt:lpstr>
      <vt:lpstr>chi so quy doi SVĐT</vt:lpstr>
      <vt:lpstr>lãi suất NH</vt:lpstr>
      <vt:lpstr>Vđ</vt:lpstr>
      <vt:lpstr>Thuê</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cp:lastModifiedBy>
  <cp:lastPrinted>2024-08-22T03:12:43Z</cp:lastPrinted>
  <dcterms:created xsi:type="dcterms:W3CDTF">2024-04-02T08:51:01Z</dcterms:created>
  <dcterms:modified xsi:type="dcterms:W3CDTF">2024-09-11T04:12:03Z</dcterms:modified>
</cp:coreProperties>
</file>