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filterPrivacy="1"/>
  <xr:revisionPtr revIDLastSave="0" documentId="13_ncr:1_{825FA756-0D11-4563-AE89-D50DA4D740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ự toán" sheetId="1" r:id="rId1"/>
    <sheet name="PL1" sheetId="11" r:id="rId2"/>
    <sheet name="PL2" sheetId="2" r:id="rId3"/>
    <sheet name="PL3" sheetId="3" r:id="rId4"/>
    <sheet name="PL4" sheetId="4" r:id="rId5"/>
    <sheet name="PL5" sheetId="5" r:id="rId6"/>
    <sheet name="PL6" sheetId="6" r:id="rId7"/>
    <sheet name="PL7" sheetId="7" r:id="rId8"/>
    <sheet name="PL8" sheetId="8" r:id="rId9"/>
    <sheet name="PL9" sheetId="9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2" l="1"/>
  <c r="G16" i="2"/>
  <c r="G11" i="2"/>
  <c r="G10" i="2"/>
  <c r="E31" i="1"/>
  <c r="G31" i="1"/>
  <c r="G26" i="1" l="1"/>
  <c r="E26" i="1"/>
  <c r="H25" i="1"/>
  <c r="G25" i="1"/>
  <c r="F25" i="1"/>
  <c r="E25" i="1"/>
  <c r="D18" i="8"/>
  <c r="G20" i="8"/>
  <c r="H20" i="8" s="1"/>
  <c r="F24" i="1"/>
  <c r="E24" i="1"/>
  <c r="E20" i="7"/>
  <c r="F22" i="7"/>
  <c r="G22" i="7" s="1"/>
  <c r="H22" i="7" s="1"/>
  <c r="H23" i="1"/>
  <c r="G23" i="1"/>
  <c r="F23" i="1"/>
  <c r="E23" i="1"/>
  <c r="G16" i="6"/>
  <c r="F16" i="6"/>
  <c r="G15" i="6"/>
  <c r="G14" i="6" s="1"/>
  <c r="F15" i="6"/>
  <c r="F14" i="6" s="1"/>
  <c r="H21" i="1"/>
  <c r="G21" i="1"/>
  <c r="F21" i="1"/>
  <c r="E21" i="1"/>
  <c r="H20" i="1"/>
  <c r="G20" i="1"/>
  <c r="F20" i="1"/>
  <c r="E20" i="1"/>
  <c r="E18" i="1"/>
  <c r="G18" i="1"/>
  <c r="F26" i="5"/>
  <c r="I26" i="5" s="1"/>
  <c r="E25" i="5"/>
  <c r="F25" i="5" s="1"/>
  <c r="I25" i="5" s="1"/>
  <c r="F24" i="5"/>
  <c r="I24" i="5" s="1"/>
  <c r="F23" i="5"/>
  <c r="I23" i="5" s="1"/>
  <c r="E22" i="5"/>
  <c r="F22" i="5" s="1"/>
  <c r="E21" i="5"/>
  <c r="F21" i="5" s="1"/>
  <c r="I19" i="5"/>
  <c r="H19" i="5"/>
  <c r="F18" i="5"/>
  <c r="I18" i="5" s="1"/>
  <c r="E17" i="5"/>
  <c r="F17" i="5" s="1"/>
  <c r="F16" i="5"/>
  <c r="I16" i="5" s="1"/>
  <c r="I15" i="5"/>
  <c r="H15" i="5"/>
  <c r="F14" i="5"/>
  <c r="I14" i="5" s="1"/>
  <c r="F13" i="5"/>
  <c r="I13" i="5" s="1"/>
  <c r="F12" i="5"/>
  <c r="I12" i="5" s="1"/>
  <c r="I11" i="5"/>
  <c r="H11" i="5"/>
  <c r="F11" i="5"/>
  <c r="F10" i="5"/>
  <c r="H10" i="5" s="1"/>
  <c r="H9" i="5"/>
  <c r="F9" i="5"/>
  <c r="I9" i="5" s="1"/>
  <c r="F8" i="5"/>
  <c r="I8" i="5" s="1"/>
  <c r="D30" i="4"/>
  <c r="E29" i="4"/>
  <c r="E28" i="4"/>
  <c r="D28" i="4"/>
  <c r="D26" i="4"/>
  <c r="E25" i="4"/>
  <c r="E24" i="4"/>
  <c r="E22" i="4"/>
  <c r="G17" i="8" l="1"/>
  <c r="F18" i="8"/>
  <c r="G18" i="8" s="1"/>
  <c r="H18" i="8" s="1"/>
  <c r="F19" i="8"/>
  <c r="G19" i="8" s="1"/>
  <c r="H19" i="8" s="1"/>
  <c r="F21" i="7"/>
  <c r="G21" i="7" s="1"/>
  <c r="H21" i="7" s="1"/>
  <c r="G18" i="7"/>
  <c r="F19" i="7"/>
  <c r="I22" i="5"/>
  <c r="H22" i="5"/>
  <c r="H13" i="5"/>
  <c r="H23" i="5"/>
  <c r="I21" i="5"/>
  <c r="I20" i="5" s="1"/>
  <c r="H21" i="5"/>
  <c r="I17" i="5"/>
  <c r="H17" i="5"/>
  <c r="H16" i="5"/>
  <c r="H8" i="5"/>
  <c r="H24" i="5"/>
  <c r="H12" i="5"/>
  <c r="H25" i="5"/>
  <c r="I10" i="5"/>
  <c r="H14" i="5"/>
  <c r="H18" i="5"/>
  <c r="H26" i="5"/>
  <c r="C17" i="2"/>
  <c r="I16" i="2"/>
  <c r="G13" i="11"/>
  <c r="H13" i="11" s="1"/>
  <c r="H11" i="1" s="1"/>
  <c r="G11" i="1" l="1"/>
  <c r="G16" i="8"/>
  <c r="H17" i="8"/>
  <c r="H16" i="8" s="1"/>
  <c r="G19" i="7"/>
  <c r="H19" i="7" s="1"/>
  <c r="F20" i="7"/>
  <c r="G20" i="7" s="1"/>
  <c r="H20" i="7" s="1"/>
  <c r="H18" i="7"/>
  <c r="I7" i="5"/>
  <c r="H7" i="5"/>
  <c r="H20" i="5"/>
  <c r="K16" i="2"/>
  <c r="I17" i="2"/>
  <c r="J16" i="2"/>
  <c r="F8" i="4"/>
  <c r="E8" i="4"/>
  <c r="G8" i="4" l="1"/>
  <c r="H8" i="4" s="1"/>
  <c r="F12" i="4"/>
  <c r="F22" i="4"/>
  <c r="H17" i="7"/>
  <c r="H24" i="1" s="1"/>
  <c r="G17" i="7"/>
  <c r="G24" i="1" s="1"/>
  <c r="J17" i="2"/>
  <c r="J15" i="2" s="1"/>
  <c r="G12" i="1" s="1"/>
  <c r="K17" i="2"/>
  <c r="K15" i="2" s="1"/>
  <c r="H12" i="1" s="1"/>
  <c r="G16" i="3"/>
  <c r="H16" i="3" s="1"/>
  <c r="G15" i="3"/>
  <c r="E15" i="3"/>
  <c r="H14" i="3"/>
  <c r="J14" i="3" s="1"/>
  <c r="E28" i="1"/>
  <c r="E27" i="1" s="1"/>
  <c r="F27" i="1"/>
  <c r="F26" i="1"/>
  <c r="F18" i="1"/>
  <c r="F15" i="1"/>
  <c r="E15" i="1"/>
  <c r="G22" i="4" l="1"/>
  <c r="H22" i="4" s="1"/>
  <c r="F25" i="4"/>
  <c r="F26" i="4"/>
  <c r="G26" i="4" s="1"/>
  <c r="H26" i="4" s="1"/>
  <c r="F24" i="4"/>
  <c r="G24" i="4" s="1"/>
  <c r="E19" i="1"/>
  <c r="F19" i="1"/>
  <c r="E22" i="1"/>
  <c r="F22" i="1"/>
  <c r="J16" i="3"/>
  <c r="I16" i="3"/>
  <c r="H15" i="3"/>
  <c r="I14" i="3"/>
  <c r="K14" i="3" s="1"/>
  <c r="H24" i="4" l="1"/>
  <c r="F27" i="4"/>
  <c r="G25" i="4"/>
  <c r="H25" i="4" s="1"/>
  <c r="L14" i="3"/>
  <c r="K16" i="3"/>
  <c r="L16" i="3" s="1"/>
  <c r="J15" i="3"/>
  <c r="I15" i="3"/>
  <c r="H13" i="3"/>
  <c r="G12" i="3"/>
  <c r="G11" i="3"/>
  <c r="G9" i="3"/>
  <c r="G27" i="4" l="1"/>
  <c r="H27" i="4" s="1"/>
  <c r="F28" i="4"/>
  <c r="G23" i="4"/>
  <c r="H23" i="4" s="1"/>
  <c r="K15" i="3"/>
  <c r="H8" i="3"/>
  <c r="G28" i="4" l="1"/>
  <c r="H28" i="4" s="1"/>
  <c r="F30" i="4"/>
  <c r="G30" i="4" s="1"/>
  <c r="H30" i="4" s="1"/>
  <c r="F29" i="4"/>
  <c r="G29" i="4" s="1"/>
  <c r="H29" i="4" s="1"/>
  <c r="L15" i="3"/>
  <c r="L13" i="3" s="1"/>
  <c r="F13" i="1" s="1"/>
  <c r="K13" i="3"/>
  <c r="E13" i="1" s="1"/>
  <c r="G10" i="3"/>
  <c r="E9" i="3"/>
  <c r="G21" i="4" l="1"/>
  <c r="G17" i="1" s="1"/>
  <c r="H21" i="4"/>
  <c r="H17" i="1" s="1"/>
  <c r="G10" i="11"/>
  <c r="E11" i="1" s="1"/>
  <c r="L13" i="4"/>
  <c r="G28" i="1" l="1"/>
  <c r="J8" i="3" l="1"/>
  <c r="I8" i="3"/>
  <c r="K8" i="3" l="1"/>
  <c r="L8" i="3" l="1"/>
  <c r="E15" i="4"/>
  <c r="H12" i="3" l="1"/>
  <c r="D12" i="4"/>
  <c r="F42" i="5"/>
  <c r="I42" i="5" s="1"/>
  <c r="E41" i="5"/>
  <c r="F41" i="5" s="1"/>
  <c r="F40" i="5"/>
  <c r="H40" i="5" s="1"/>
  <c r="F10" i="4"/>
  <c r="H42" i="5" l="1"/>
  <c r="J12" i="3"/>
  <c r="I12" i="3"/>
  <c r="H11" i="3"/>
  <c r="I40" i="5"/>
  <c r="I41" i="5"/>
  <c r="H41" i="5"/>
  <c r="H27" i="1"/>
  <c r="G27" i="1"/>
  <c r="H26" i="1"/>
  <c r="H18" i="1"/>
  <c r="F15" i="9"/>
  <c r="F16" i="9"/>
  <c r="F18" i="9"/>
  <c r="F19" i="9"/>
  <c r="F17" i="9" s="1"/>
  <c r="F14" i="9"/>
  <c r="F11" i="9"/>
  <c r="F8" i="9"/>
  <c r="F9" i="9"/>
  <c r="F10" i="9"/>
  <c r="F7" i="9"/>
  <c r="C8" i="9"/>
  <c r="G9" i="6"/>
  <c r="G8" i="6"/>
  <c r="F9" i="6"/>
  <c r="F8" i="6"/>
  <c r="I43" i="5"/>
  <c r="H43" i="5"/>
  <c r="F50" i="5"/>
  <c r="H50" i="5" s="1"/>
  <c r="E49" i="5"/>
  <c r="F49" i="5"/>
  <c r="I49" i="5" s="1"/>
  <c r="F48" i="5"/>
  <c r="I48" i="5" s="1"/>
  <c r="F47" i="5"/>
  <c r="H47" i="5" s="1"/>
  <c r="F46" i="5"/>
  <c r="H46" i="5" s="1"/>
  <c r="F45" i="5"/>
  <c r="I45" i="5" s="1"/>
  <c r="E46" i="5"/>
  <c r="E45" i="5"/>
  <c r="F8" i="8"/>
  <c r="F8" i="7"/>
  <c r="F7" i="6" l="1"/>
  <c r="H45" i="5"/>
  <c r="I50" i="5"/>
  <c r="I11" i="3"/>
  <c r="J11" i="3"/>
  <c r="K11" i="3" s="1"/>
  <c r="F12" i="9"/>
  <c r="F6" i="9"/>
  <c r="K12" i="3"/>
  <c r="G7" i="6"/>
  <c r="H49" i="5"/>
  <c r="H48" i="5"/>
  <c r="H44" i="5" s="1"/>
  <c r="I47" i="5"/>
  <c r="I46" i="5"/>
  <c r="I44" i="5" s="1"/>
  <c r="E14" i="4"/>
  <c r="E10" i="4"/>
  <c r="E11" i="4" s="1"/>
  <c r="L12" i="3" l="1"/>
  <c r="L11" i="3"/>
  <c r="F5" i="9"/>
  <c r="H29" i="1" s="1"/>
  <c r="H10" i="11"/>
  <c r="F11" i="1" s="1"/>
  <c r="D9" i="8"/>
  <c r="F10" i="8"/>
  <c r="G10" i="8" s="1"/>
  <c r="H10" i="8" s="1"/>
  <c r="E10" i="7"/>
  <c r="F12" i="7"/>
  <c r="G12" i="7" s="1"/>
  <c r="H12" i="7" s="1"/>
  <c r="F11" i="7"/>
  <c r="G11" i="7" s="1"/>
  <c r="H11" i="7" s="1"/>
  <c r="I39" i="5"/>
  <c r="H39" i="5"/>
  <c r="F33" i="5"/>
  <c r="H33" i="5" s="1"/>
  <c r="F34" i="5"/>
  <c r="I34" i="5" s="1"/>
  <c r="F35" i="5"/>
  <c r="I35" i="5" s="1"/>
  <c r="F36" i="5"/>
  <c r="H36" i="5" s="1"/>
  <c r="F37" i="5"/>
  <c r="H37" i="5" s="1"/>
  <c r="F38" i="5"/>
  <c r="H38" i="5" s="1"/>
  <c r="F32" i="5"/>
  <c r="G29" i="1" l="1"/>
  <c r="F29" i="1"/>
  <c r="E29" i="1" s="1"/>
  <c r="I32" i="5"/>
  <c r="H32" i="5"/>
  <c r="I37" i="5"/>
  <c r="I38" i="5"/>
  <c r="F9" i="8"/>
  <c r="G9" i="8" s="1"/>
  <c r="H9" i="8" s="1"/>
  <c r="F11" i="8"/>
  <c r="G11" i="8" s="1"/>
  <c r="H11" i="8" s="1"/>
  <c r="G8" i="8"/>
  <c r="F9" i="7"/>
  <c r="G8" i="7"/>
  <c r="I36" i="5"/>
  <c r="H35" i="5"/>
  <c r="H34" i="5"/>
  <c r="I33" i="5"/>
  <c r="D16" i="4"/>
  <c r="D14" i="4"/>
  <c r="G10" i="4"/>
  <c r="H10" i="4" l="1"/>
  <c r="H8" i="7"/>
  <c r="I31" i="5"/>
  <c r="H19" i="1" s="1"/>
  <c r="H8" i="8"/>
  <c r="H7" i="8" s="1"/>
  <c r="G7" i="8"/>
  <c r="H31" i="5"/>
  <c r="G19" i="1" s="1"/>
  <c r="F10" i="7"/>
  <c r="G10" i="7" s="1"/>
  <c r="H10" i="7" s="1"/>
  <c r="G9" i="7"/>
  <c r="H9" i="7" s="1"/>
  <c r="F11" i="4"/>
  <c r="F13" i="4" s="1"/>
  <c r="I10" i="2"/>
  <c r="K10" i="2" l="1"/>
  <c r="J10" i="2"/>
  <c r="G7" i="7"/>
  <c r="G22" i="1" s="1"/>
  <c r="H7" i="7"/>
  <c r="H22" i="1" s="1"/>
  <c r="G11" i="4"/>
  <c r="H9" i="3" l="1"/>
  <c r="E10" i="3"/>
  <c r="H10" i="3" s="1"/>
  <c r="H11" i="4"/>
  <c r="F14" i="4"/>
  <c r="F15" i="4" s="1"/>
  <c r="G15" i="4" s="1"/>
  <c r="H15" i="4" s="1"/>
  <c r="G12" i="4"/>
  <c r="G9" i="4" s="1"/>
  <c r="G13" i="4"/>
  <c r="H13" i="4" s="1"/>
  <c r="I11" i="2"/>
  <c r="C11" i="2"/>
  <c r="H7" i="3" l="1"/>
  <c r="I9" i="3"/>
  <c r="J9" i="3"/>
  <c r="J11" i="2"/>
  <c r="K11" i="2"/>
  <c r="J10" i="3"/>
  <c r="I10" i="3"/>
  <c r="G14" i="4"/>
  <c r="H14" i="4" s="1"/>
  <c r="F16" i="4"/>
  <c r="G16" i="4" s="1"/>
  <c r="H16" i="4" s="1"/>
  <c r="H9" i="4"/>
  <c r="H7" i="4" s="1"/>
  <c r="F17" i="1" s="1"/>
  <c r="F16" i="1" s="1"/>
  <c r="H12" i="4"/>
  <c r="H10" i="1" l="1"/>
  <c r="K9" i="2"/>
  <c r="F12" i="1" s="1"/>
  <c r="F10" i="1" s="1"/>
  <c r="F9" i="1" s="1"/>
  <c r="F30" i="1" s="1"/>
  <c r="F32" i="1" s="1"/>
  <c r="G10" i="1"/>
  <c r="J9" i="2"/>
  <c r="E12" i="1" s="1"/>
  <c r="E10" i="1" s="1"/>
  <c r="K9" i="3"/>
  <c r="K10" i="3"/>
  <c r="G7" i="4"/>
  <c r="H16" i="1"/>
  <c r="G16" i="1" l="1"/>
  <c r="E17" i="1"/>
  <c r="E16" i="1" s="1"/>
  <c r="E9" i="1" s="1"/>
  <c r="F33" i="1"/>
  <c r="L10" i="3"/>
  <c r="L9" i="3"/>
  <c r="K7" i="3"/>
  <c r="G15" i="1" l="1"/>
  <c r="G13" i="1"/>
  <c r="E30" i="1"/>
  <c r="E32" i="1" s="1"/>
  <c r="L7" i="3"/>
  <c r="H15" i="1" l="1"/>
  <c r="H13" i="1"/>
  <c r="G9" i="1"/>
  <c r="G30" i="1" s="1"/>
  <c r="G32" i="1" s="1"/>
  <c r="G33" i="1" s="1"/>
  <c r="E33" i="1"/>
  <c r="H9" i="1" l="1"/>
  <c r="H30" i="1" s="1"/>
  <c r="H32" i="1" s="1"/>
  <c r="H33" i="1" s="1"/>
</calcChain>
</file>

<file path=xl/sharedStrings.xml><?xml version="1.0" encoding="utf-8"?>
<sst xmlns="http://schemas.openxmlformats.org/spreadsheetml/2006/main" count="504" uniqueCount="269">
  <si>
    <t>Phụ lục số 01</t>
  </si>
  <si>
    <t>CHI PHÍ NĂNG LƯỢNG ĐỂ PHỤC VỤ CÔNG TÁC VẬN HÀNH NHÀ CHUNG CƯ</t>
  </si>
  <si>
    <t>Đơn vị tính: Đồng</t>
  </si>
  <si>
    <t>STT</t>
  </si>
  <si>
    <t>Số lượng thiết bị</t>
  </si>
  <si>
    <t>Công suất thiết bị (Kw)</t>
  </si>
  <si>
    <t>Thành tiền (đồng)</t>
  </si>
  <si>
    <t>1 tháng</t>
  </si>
  <si>
    <t>1 năm</t>
  </si>
  <si>
    <t>Ghi chú</t>
  </si>
  <si>
    <t>Bơm nước sinh hoạt</t>
  </si>
  <si>
    <t>Phụ lục số 02</t>
  </si>
  <si>
    <t>CHI PHÍ NHIÊN LIỆU ĐỂ PHỤC VỤ CÔNG TÁC VẬN HÀNH NHÀ CHUNG CƯ</t>
  </si>
  <si>
    <t>Tên thiết bị và nội dung công việc</t>
  </si>
  <si>
    <t>Loại nhiên liệu</t>
  </si>
  <si>
    <t>Đơn vị</t>
  </si>
  <si>
    <t>Khối lượng (1 năm)</t>
  </si>
  <si>
    <t>Định mức thời gian (phút)</t>
  </si>
  <si>
    <t>Đơn giá chưa VAT (đ/lít)</t>
  </si>
  <si>
    <t>Khối lượng (1 tháng)</t>
  </si>
  <si>
    <t>10=5*7*8*9</t>
  </si>
  <si>
    <t>11=6*7*8*9</t>
  </si>
  <si>
    <t>Dầu diezel</t>
  </si>
  <si>
    <t>lần</t>
  </si>
  <si>
    <t>Định mức tiêu thụ (lít/phút )</t>
  </si>
  <si>
    <t>Phụ lục số 03</t>
  </si>
  <si>
    <t>CHI PHÍ NHÂN CÔNG ĐỂ PHỤC VỤ CÔNG TÁC VẬN HÀNH NHÀ CHUNG CƯ</t>
  </si>
  <si>
    <t>Hệ số lương</t>
  </si>
  <si>
    <t>Khoản mục chi</t>
  </si>
  <si>
    <t>Số lượng</t>
  </si>
  <si>
    <t>Lương cơ bản/01 tháng</t>
  </si>
  <si>
    <t xml:space="preserve">Chi phí phụ cấp/01 tháng </t>
  </si>
  <si>
    <t>Phụ lục số 04</t>
  </si>
  <si>
    <t>Đơn giá chưa VAT (đồng/KW)</t>
  </si>
  <si>
    <t>Thời gian làm việc (giờ)</t>
  </si>
  <si>
    <t>Công suất (KW/giờ)</t>
  </si>
  <si>
    <t>Thành tiền</t>
  </si>
  <si>
    <t>Đèn tầng 1</t>
  </si>
  <si>
    <t>Đèn hành lang, cầu thang, phòng kỹ thuật</t>
  </si>
  <si>
    <t>Đèn tầng mái</t>
  </si>
  <si>
    <t>Phụ lục số 05</t>
  </si>
  <si>
    <t>Tên và quy cách công cụ</t>
  </si>
  <si>
    <t>Đơn giá</t>
  </si>
  <si>
    <t>thành tiền</t>
  </si>
  <si>
    <t>Thời gian khấu hao</t>
  </si>
  <si>
    <t>Chi phí khấu hao</t>
  </si>
  <si>
    <t>Phụ lục số 06</t>
  </si>
  <si>
    <t>Tên vật tư</t>
  </si>
  <si>
    <t>Phụ lục số 07</t>
  </si>
  <si>
    <t>Phụ lục số 08</t>
  </si>
  <si>
    <t>Tên thiết bị</t>
  </si>
  <si>
    <t>Phụ lục số 09</t>
  </si>
  <si>
    <t>Nội dung</t>
  </si>
  <si>
    <t>Khối lượng</t>
  </si>
  <si>
    <t xml:space="preserve"> </t>
  </si>
  <si>
    <t>Đơn giá điện theo  QĐ số 2941/QĐ-BCT ngày 08/11/2023 của Bộ Công thương</t>
  </si>
  <si>
    <t xml:space="preserve">Tổ vệ sinh, </t>
  </si>
  <si>
    <t>8=(3*5*6)+6</t>
  </si>
  <si>
    <t xml:space="preserve"> (30 ngày)/1 tháng</t>
  </si>
  <si>
    <t>Thời gian làm việc (giờ/ngày/ tháng)</t>
  </si>
  <si>
    <t>Đèn sảnh</t>
  </si>
  <si>
    <t>Đèn nhà xe</t>
  </si>
  <si>
    <t>Đèn exit</t>
  </si>
  <si>
    <t>- Máy vi tính để bàn</t>
  </si>
  <si>
    <t>- Máy vi tính xách tay (hoặc thiết bị điện tử tương đương)</t>
  </si>
  <si>
    <t>- Máy in</t>
  </si>
  <si>
    <t>- Máy fax</t>
  </si>
  <si>
    <t>- Tủ đựng tài liệu</t>
  </si>
  <si>
    <t>- Máy scan</t>
  </si>
  <si>
    <t>- Máy hủy tài liệu</t>
  </si>
  <si>
    <t>- Máy photocopy</t>
  </si>
  <si>
    <t>- Bộ bàn ghế ngồi làm việc trang bị cho các chức danh</t>
  </si>
  <si>
    <t>- Bộ bàn ghế họp</t>
  </si>
  <si>
    <t>- Bộ bàn ghế tiếp khách</t>
  </si>
  <si>
    <t>- Máy điều hòa không khí</t>
  </si>
  <si>
    <t>- Quạt</t>
  </si>
  <si>
    <t>- Máy sưởi</t>
  </si>
  <si>
    <t>- Máy móc, thiết bị văn phòng phổ biến khác</t>
  </si>
  <si>
    <t>5</t>
  </si>
  <si>
    <t>- Thiết bị mạng, truyền thông</t>
  </si>
  <si>
    <t>- Thiết bị điện văn phòng</t>
  </si>
  <si>
    <t>- Thiết bị điện tử phục vụ quản lý, lưu trữ dữ liệu</t>
  </si>
  <si>
    <t>- Thiết bị truyền dẫn</t>
  </si>
  <si>
    <t>- Camera giám sát</t>
  </si>
  <si>
    <t>- Thang máy</t>
  </si>
  <si>
    <t>- Máy bơm nước</t>
  </si>
  <si>
    <t>- Két sắt</t>
  </si>
  <si>
    <t>- Bàn ghế hội trường</t>
  </si>
  <si>
    <t>(8)=(6)/(7)/12</t>
  </si>
  <si>
    <t xml:space="preserve"> (9)=(6)/(7)</t>
  </si>
  <si>
    <t> Hòa Phát</t>
  </si>
  <si>
    <t>Hòa Phát</t>
  </si>
  <si>
    <t> Canon</t>
  </si>
  <si>
    <t>bộ</t>
  </si>
  <si>
    <t>Trung Quốc</t>
  </si>
  <si>
    <t>Máy phun áp lực cao (để phục vụ công tác rửa và vệ sinh cho toà nhà)</t>
  </si>
  <si>
    <t>Tủ Y tế dự phòng nhôm kính (0,15*0,4*0,3)</t>
  </si>
  <si>
    <t>Hòm thư góp ý (tôn hoa kt 20x10x3 5cm)</t>
  </si>
  <si>
    <t>cái</t>
  </si>
  <si>
    <t>Máy in</t>
  </si>
  <si>
    <t>Máy tính</t>
  </si>
  <si>
    <t>Ấm điện</t>
  </si>
  <si>
    <t>Quạt điện (hoạt động 6 tháng)</t>
  </si>
  <si>
    <t>Điều hòa</t>
  </si>
  <si>
    <t>Thời gian làm việc (giờ)/ngày</t>
  </si>
  <si>
    <t>Đầu ghi hình</t>
  </si>
  <si>
    <t>Camera</t>
  </si>
  <si>
    <t>Màn hình</t>
  </si>
  <si>
    <t>Âm ly</t>
  </si>
  <si>
    <t>Người</t>
  </si>
  <si>
    <t xml:space="preserve">Chạy máy phát điện dự phòng khi mất điện, dự kiến mất điện lưới 02 tháng/01 lần. Mỗi lần 30 phút </t>
  </si>
  <si>
    <t>Chạy 01 lần /tháng, mỗi lần 15 phút (bao gồm cả chạy bảo dưỡng)</t>
  </si>
  <si>
    <t>Trung bình 6tiếng/ ngày</t>
  </si>
  <si>
    <t>Bật kiểm tra tính TB 1h/ngày</t>
  </si>
  <si>
    <t>Tổng cộng</t>
  </si>
  <si>
    <t>Bàn làm việc cán bộ quản lý chung, cán bộ kỹ thuật Hòa phát bàn liền hộc AT160HT</t>
  </si>
  <si>
    <t>Ghế gấp làm việc và tiếp đón khách INOX Hòa Phát G04I</t>
  </si>
  <si>
    <t>Tủ hồ sơ Hòa Phát TU09K4</t>
  </si>
  <si>
    <t>Máy in Canon LDP 223DW</t>
  </si>
  <si>
    <t>Máy vi tính H510</t>
  </si>
  <si>
    <t>DỰ TOÁN QUẢN LÝ VẬN HÀNH</t>
  </si>
  <si>
    <t xml:space="preserve">Diễn giải </t>
  </si>
  <si>
    <t>Giá đề nghị</t>
  </si>
  <si>
    <t>Chi phí trực tiếp</t>
  </si>
  <si>
    <t>Chi phí năng lượng (điện) phục vụ công tác vận hành</t>
  </si>
  <si>
    <t xml:space="preserve">Chi phí nhiên liệu vận hành máy phát điện dự phòng (dầu Diezel) </t>
  </si>
  <si>
    <t>Kế toán</t>
  </si>
  <si>
    <t>Kỹ thuật</t>
  </si>
  <si>
    <t>Trang thiết bị cho ban quản trị</t>
  </si>
  <si>
    <t>Trang thiêt bị tổ bảo vệ, dọn vệ sinh</t>
  </si>
  <si>
    <t>Bàn làm việc Hòa phát bàn liền hộc AT160HT</t>
  </si>
  <si>
    <t>Giường, chiếu, chăn, màn (1,2*1,9)m</t>
  </si>
  <si>
    <t>Quạt điện cơ thống nhất</t>
  </si>
  <si>
    <t>Phích nước rạng đông, ấm chén</t>
  </si>
  <si>
    <t>II</t>
  </si>
  <si>
    <t>Thùng đựng rác nhựa</t>
  </si>
  <si>
    <t>Văn phòng phẩm cho tổ bảo vệ</t>
  </si>
  <si>
    <t>Sổ A4</t>
  </si>
  <si>
    <t>Bút bi (thiên Long)</t>
  </si>
  <si>
    <t>quyển</t>
  </si>
  <si>
    <t>Chi phí về đào tạo</t>
  </si>
  <si>
    <t>Chi phí mời giáo viên giảng lý thuyết</t>
  </si>
  <si>
    <t>Chi phí mời giáo viên giảng thực hành</t>
  </si>
  <si>
    <t>Tài liệu tập huấn</t>
  </si>
  <si>
    <t>Chi phí thiết bị phục vụ tập huấn</t>
  </si>
  <si>
    <t>Kiểm tra giấy chứng nhận huấn luyện PCCC</t>
  </si>
  <si>
    <t>Bình chữa cháy MFZ4 (chỉ tính chi phí nạp bình)</t>
  </si>
  <si>
    <t>Bình chữa cháy MT3 (chỉ tính chi phí nạp bình)</t>
  </si>
  <si>
    <t>Xăng Ron92</t>
  </si>
  <si>
    <t>Thuê khay đựng xăng</t>
  </si>
  <si>
    <t>Khảo sát xây dựng kế hoạch thực tập phương án chữa cháy</t>
  </si>
  <si>
    <t>Số người tham dự khoảng 6 người</t>
  </si>
  <si>
    <t>Chi phí mời cán bộ, chiến sỹ (01 cán bộ +06 người dân)</t>
  </si>
  <si>
    <t>01 người của đơn vị vận hành</t>
  </si>
  <si>
    <t>Chi phí khác (Phông, nước uống)</t>
  </si>
  <si>
    <t>bình</t>
  </si>
  <si>
    <t>Bình</t>
  </si>
  <si>
    <t>lít</t>
  </si>
  <si>
    <t>TB</t>
  </si>
  <si>
    <t>lượt</t>
  </si>
  <si>
    <t>người</t>
  </si>
  <si>
    <t>Chi phí thiết bị và phương tiện diễn tập</t>
  </si>
  <si>
    <t>I</t>
  </si>
  <si>
    <t>III</t>
  </si>
  <si>
    <t>Chi phí dịch vụ công cộng (Điện, nước)</t>
  </si>
  <si>
    <t>Điện công cộng</t>
  </si>
  <si>
    <t>Chi phí trang thiết bị cho ban quản trị, tổ bảo vệ, vệ sinh, kỹ thuật</t>
  </si>
  <si>
    <t>Chi phí trang thiết bị cho ban quản trị</t>
  </si>
  <si>
    <t>Chi phí trang thiết bị cho tổ bảo vệ, vệ sinh, kỹ thuật</t>
  </si>
  <si>
    <t>Văn phòng phẩm</t>
  </si>
  <si>
    <t>Điện sinh hoạt</t>
  </si>
  <si>
    <t>Hệ thống camera giám sát</t>
  </si>
  <si>
    <t xml:space="preserve">Chi phí VPP, điện nước </t>
  </si>
  <si>
    <t>Chi phí dịch vụ khác</t>
  </si>
  <si>
    <t>Chi phí phun thuốc muỗi (1 lần /năm)</t>
  </si>
  <si>
    <t>Chi phí tập huấn PCCC</t>
  </si>
  <si>
    <t>Chi phí sử dụng năng lượng</t>
  </si>
  <si>
    <t>Thời gian làm việc (giờ)/tháng</t>
  </si>
  <si>
    <t>Đèn chiếu sáng sân vườn</t>
  </si>
  <si>
    <t>Đèn sự cô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</si>
  <si>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</si>
  <si>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</si>
  <si>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</si>
  <si>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</si>
  <si>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</si>
  <si>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</si>
  <si>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</si>
  <si>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</si>
  <si>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</si>
  <si>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</si>
  <si>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5.3</t>
  </si>
  <si>
    <t>5.4</t>
  </si>
  <si>
    <t>Tổ kỹ thuật, bảo vệ, vệ sinh</t>
  </si>
  <si>
    <t>Đèn chiếu sáng tầng hầm</t>
  </si>
  <si>
    <t>2.3</t>
  </si>
  <si>
    <t>CHI PHÍ ĐIỆN CHIẾU SÁNG CÔNG CỘNG TRONG VÀ NGOÀI NHÀ</t>
  </si>
  <si>
    <t>CHI PHÍ KHẤU HAO TÀI SẢN, CÔNG CỤ, DỤNG CỤ, THIẾT BỊ PHỤC VỤ QUẢN LÝ VẬN HÀNH</t>
  </si>
  <si>
    <t>Cái</t>
  </si>
  <si>
    <t>CHI PHÍ VĂN PHÒNG PHẨM</t>
  </si>
  <si>
    <t>Tổng chi phí</t>
  </si>
  <si>
    <t>CHI PHÍ HỆ THỐNG CAMERA</t>
  </si>
  <si>
    <t>PL1</t>
  </si>
  <si>
    <t>PL2</t>
  </si>
  <si>
    <t>PL3</t>
  </si>
  <si>
    <t>PL4</t>
  </si>
  <si>
    <t>PL5</t>
  </si>
  <si>
    <t>PL6</t>
  </si>
  <si>
    <t>PL7</t>
  </si>
  <si>
    <t>PL8</t>
  </si>
  <si>
    <t>Trung bình 6h/ ngày</t>
  </si>
  <si>
    <t>24h/ ngày</t>
  </si>
  <si>
    <t>Trung bình 1h/ ngày</t>
  </si>
  <si>
    <t>Trung bình 12h/ ngày</t>
  </si>
  <si>
    <t>CHI PHÍ NĂNG LƯỢNG PHỤC VỤ SINH HOẠT TỔ QUẢN LÝ VẬN HÀNH VÀ TỔ BẢO VỆ</t>
  </si>
  <si>
    <t xml:space="preserve"> DỰ TOÁN CHI PHÍ TẬP HUẤN, DIỄN TẬP PCCC</t>
  </si>
  <si>
    <t>Phòng SHCĐ</t>
  </si>
  <si>
    <r>
      <t>Đơn giá chưa VAT (đồng/KW</t>
    </r>
    <r>
      <rPr>
        <b/>
        <sz val="10"/>
        <color rgb="FFFF0000"/>
        <rFont val="Times New Roman"/>
        <family val="1"/>
      </rPr>
      <t>h</t>
    </r>
    <r>
      <rPr>
        <b/>
        <sz val="10"/>
        <color theme="1"/>
        <rFont val="Times New Roman"/>
        <family val="1"/>
      </rPr>
      <t>)</t>
    </r>
  </si>
  <si>
    <t>BHXH</t>
  </si>
  <si>
    <t>Công đoàn</t>
  </si>
  <si>
    <t>Tổng lương/01 tháng</t>
  </si>
  <si>
    <t>9=8*32%</t>
  </si>
  <si>
    <t>10=8*2%</t>
  </si>
  <si>
    <t>11=8+9+10</t>
  </si>
  <si>
    <t>12=11*12</t>
  </si>
  <si>
    <t>2000 đồng/1m2</t>
  </si>
  <si>
    <t>Tổng diện tích sử dụng (sở hữu riêng theo thông thuỷ)</t>
  </si>
  <si>
    <t>Mục 2.2.2 Phụ lục</t>
  </si>
  <si>
    <t>Điện khu trông giữ xe tính giá kinh doanh, mục 3.3</t>
  </si>
  <si>
    <t>Chi phí lương trưởng ban quản lý, tổ bảo vệ, vệ sinh, kỹ thuật</t>
  </si>
  <si>
    <t>Chi phí lương cho trưởng ban quản lý, nhân viên bảo vệ, vệ sinh, kỹ thuật, kế toán</t>
  </si>
  <si>
    <t xml:space="preserve">Tổ bảo vệ </t>
  </si>
  <si>
    <t>Tổ trưởng quản lý</t>
  </si>
  <si>
    <t>PL1+PL2</t>
  </si>
  <si>
    <t>Đơn giá dịch vụ /m2 (chưa bao gồm 10% VAT)</t>
  </si>
  <si>
    <t>Đơn giá dịch vụ /m2 (bao gồm 10% VAT)</t>
  </si>
  <si>
    <t>Lợi nhuận định mức hợp lý cho doanh nghiệp quản lý, vận hành nhà chung cư</t>
  </si>
  <si>
    <t>Q</t>
  </si>
  <si>
    <t>P</t>
  </si>
  <si>
    <t>S</t>
  </si>
  <si>
    <t>5% *(Q)</t>
  </si>
  <si>
    <t>Q=1+2+3+4    +5+6+7</t>
  </si>
  <si>
    <t xml:space="preserve">    (Q+P)/S</t>
  </si>
  <si>
    <t>Tổ trưởng quản lý, kiêm kỹ thuật</t>
  </si>
  <si>
    <t>Kế toán, kiêm vệ sinh</t>
  </si>
  <si>
    <t>Tổ bảo vệ, kiêm vệ sinh</t>
  </si>
  <si>
    <t>Nhà chung cư cao đến 7 tầng</t>
  </si>
  <si>
    <t xml:space="preserve">Máy phát điện dự phòng </t>
  </si>
  <si>
    <t>Nước phục vụ vệ sinh, chăm sóc cây xanh = 10,400 đ/m3x(20-100)m3/tháng</t>
  </si>
  <si>
    <t>Nước sinh hoạt   = 10,400 đ/m3x1 m3/người/tháng người</t>
  </si>
  <si>
    <t>PL9</t>
  </si>
  <si>
    <t>(01 đơn nguyên)</t>
  </si>
  <si>
    <t>(4 đơn nguyên)</t>
  </si>
  <si>
    <t>Chung cư đến 7 tầng, 01 đơn nguyên</t>
  </si>
  <si>
    <t>Chung cư đến 7 tầng 4 đơn nguyên</t>
  </si>
  <si>
    <t>Chung cư đến 7 tầng, 4 đơn nguyên, máy phát điện 300KVA</t>
  </si>
  <si>
    <t>Chung cư đến 7 tầng, 01 đơn nguyên, máy phát điện 150KVA</t>
  </si>
  <si>
    <t>Chung cư đến 7 tầng, 4 đơn nguyên</t>
  </si>
  <si>
    <t>Chung cư đến 7 tầng, 04 đơn nguyên</t>
  </si>
  <si>
    <t xml:space="preserve"> =&gt;</t>
  </si>
  <si>
    <t>Giá tối đa:</t>
  </si>
  <si>
    <t>Giá tối thiểu</t>
  </si>
  <si>
    <t>đ/m2/tháng</t>
  </si>
  <si>
    <t>Công suất 22kw/h, dự kiến bơm  1h/ngày</t>
  </si>
  <si>
    <t>Công suất 22kw/h, dự kiến bơm  1h/ngày x 4 khối</t>
  </si>
  <si>
    <t>Đèn sự cố</t>
  </si>
  <si>
    <t>Mức lương tối thiểu vùng 2, Nghị định 74/2024/NĐ-CP (4,160,000 đồng tháng)</t>
  </si>
  <si>
    <r>
      <t>Tổng lương</t>
    </r>
    <r>
      <rPr>
        <b/>
        <sz val="10"/>
        <color rgb="FFFF0000"/>
        <rFont val="Times New Roman"/>
        <family val="1"/>
      </rPr>
      <t xml:space="preserve"> cơ bản</t>
    </r>
    <r>
      <rPr>
        <b/>
        <sz val="10"/>
        <color theme="1"/>
        <rFont val="Times New Roman"/>
        <family val="1"/>
      </rPr>
      <t>/01 tháng)</t>
    </r>
  </si>
  <si>
    <r>
      <t>Tổng lương/</t>
    </r>
    <r>
      <rPr>
        <b/>
        <sz val="10"/>
        <color rgb="FFFF0000"/>
        <rFont val="Times New Roman"/>
        <family val="1"/>
      </rPr>
      <t>12</t>
    </r>
    <r>
      <rPr>
        <b/>
        <sz val="10"/>
        <color theme="1"/>
        <rFont val="Times New Roman"/>
        <family val="1"/>
      </rPr>
      <t xml:space="preserve"> tháng </t>
    </r>
  </si>
  <si>
    <t>Đơn giá chưa VAT (đ/Kwh)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</si>
</sst>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[Red]\(0\)"/>
    <numFmt numFmtId="165" formatCode="0_);\(0\)"/>
    <numFmt numFmtId="167" formatCode="0.0"/>
    <numFmt numFmtId="168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sz val="14"/>
      <color rgb="FFFF0000"/>
      <name val="Times New Roman"/>
      <family val="1"/>
    </font>
    <font>
      <i/>
      <sz val="10"/>
      <color rgb="FFFF0000"/>
      <name val="Times New Roman"/>
      <family val="1"/>
    </font>
    <font>
      <i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43" fontId="20" fillId="0" borderId="0" applyFont="0" applyFill="0" applyBorder="0" applyAlignment="0" applyProtection="0"/>
  </cellStyleXfs>
  <cellXfs count="27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/>
    <xf numFmtId="0" fontId="1" fillId="0" borderId="0" xfId="0" applyFont="1" applyAlignment="1">
      <alignment horizontal="fill" vertical="top" wrapText="1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 wrapText="1" indent="1"/>
    </xf>
    <xf numFmtId="0" fontId="4" fillId="0" borderId="0" xfId="0" applyFont="1"/>
    <xf numFmtId="0" fontId="11" fillId="0" borderId="0" xfId="0" applyFont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3" fontId="10" fillId="0" borderId="1" xfId="0" applyNumberFormat="1" applyFont="1" applyBorder="1"/>
    <xf numFmtId="165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>
      <alignment wrapText="1"/>
    </xf>
    <xf numFmtId="0" fontId="5" fillId="0" borderId="2" xfId="0" applyNumberFormat="1" applyFont="1" applyBorder="1" applyAlignment="1"/>
    <xf numFmtId="0" fontId="6" fillId="0" borderId="2" xfId="0" applyFont="1" applyBorder="1" applyAlignment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5" fillId="0" borderId="2" xfId="0" applyNumberFormat="1" applyFont="1" applyBorder="1" applyAlignment="1"/>
    <xf numFmtId="0" fontId="1" fillId="0" borderId="2" xfId="0" applyFont="1" applyBorder="1" applyAlignment="1"/>
    <xf numFmtId="0" fontId="6" fillId="0" borderId="2" xfId="0" applyNumberFormat="1" applyFont="1" applyBorder="1" applyAlignment="1"/>
    <xf numFmtId="3" fontId="6" fillId="0" borderId="2" xfId="0" applyNumberFormat="1" applyFont="1" applyBorder="1" applyAlignment="1"/>
    <xf numFmtId="0" fontId="5" fillId="0" borderId="3" xfId="0" applyNumberFormat="1" applyFont="1" applyBorder="1" applyAlignment="1"/>
    <xf numFmtId="3" fontId="5" fillId="0" borderId="3" xfId="0" applyNumberFormat="1" applyFont="1" applyBorder="1" applyAlignment="1"/>
    <xf numFmtId="3" fontId="9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10" fillId="0" borderId="1" xfId="0" applyFont="1" applyBorder="1"/>
    <xf numFmtId="3" fontId="10" fillId="0" borderId="9" xfId="0" applyNumberFormat="1" applyFont="1" applyBorder="1" applyAlignment="1">
      <alignment horizontal="center" vertical="center"/>
    </xf>
    <xf numFmtId="0" fontId="6" fillId="0" borderId="1" xfId="0" applyFont="1" applyBorder="1"/>
    <xf numFmtId="3" fontId="10" fillId="0" borderId="2" xfId="0" applyNumberFormat="1" applyFont="1" applyBorder="1" applyAlignment="1"/>
    <xf numFmtId="0" fontId="5" fillId="0" borderId="1" xfId="0" applyFont="1" applyBorder="1" applyAlignment="1">
      <alignment horizontal="justify" vertical="center" wrapText="1"/>
    </xf>
    <xf numFmtId="0" fontId="13" fillId="3" borderId="0" xfId="0" applyFont="1" applyFill="1"/>
    <xf numFmtId="0" fontId="15" fillId="3" borderId="0" xfId="0" applyFont="1" applyFill="1"/>
    <xf numFmtId="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" fontId="14" fillId="3" borderId="2" xfId="0" applyNumberFormat="1" applyFont="1" applyFill="1" applyBorder="1" applyAlignment="1"/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3" fontId="6" fillId="0" borderId="1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3" fontId="17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3" fontId="18" fillId="0" borderId="1" xfId="1" applyNumberFormat="1" applyFont="1" applyFill="1" applyBorder="1" applyAlignment="1">
      <alignment horizontal="left" vertical="center" wrapText="1"/>
    </xf>
    <xf numFmtId="0" fontId="22" fillId="0" borderId="0" xfId="0" applyFont="1" applyFill="1"/>
    <xf numFmtId="0" fontId="22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 applyAlignment="1"/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justify" vertical="top" wrapText="1"/>
    </xf>
    <xf numFmtId="0" fontId="18" fillId="0" borderId="10" xfId="0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horizontal="fill" vertical="top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justify" vertical="top" wrapText="1"/>
    </xf>
    <xf numFmtId="0" fontId="18" fillId="0" borderId="11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0" fontId="23" fillId="0" borderId="11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justify" vertical="top" wrapText="1"/>
    </xf>
    <xf numFmtId="0" fontId="23" fillId="0" borderId="11" xfId="0" applyFon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center" vertical="center"/>
    </xf>
    <xf numFmtId="3" fontId="23" fillId="0" borderId="11" xfId="0" applyNumberFormat="1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wrapText="1"/>
    </xf>
    <xf numFmtId="0" fontId="26" fillId="0" borderId="0" xfId="0" applyFont="1" applyFill="1"/>
    <xf numFmtId="3" fontId="23" fillId="0" borderId="11" xfId="0" applyNumberFormat="1" applyFont="1" applyFill="1" applyBorder="1" applyAlignment="1">
      <alignment horizontal="right" vertical="center" wrapText="1"/>
    </xf>
    <xf numFmtId="0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/>
    <xf numFmtId="0" fontId="18" fillId="0" borderId="2" xfId="0" applyFont="1" applyFill="1" applyBorder="1" applyAlignment="1">
      <alignment horizontal="center"/>
    </xf>
    <xf numFmtId="3" fontId="18" fillId="0" borderId="11" xfId="0" applyNumberFormat="1" applyFont="1" applyFill="1" applyBorder="1"/>
    <xf numFmtId="0" fontId="21" fillId="0" borderId="0" xfId="0" applyFont="1" applyFill="1"/>
    <xf numFmtId="0" fontId="23" fillId="0" borderId="11" xfId="0" applyFont="1" applyFill="1" applyBorder="1"/>
    <xf numFmtId="0" fontId="24" fillId="0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/>
    <xf numFmtId="0" fontId="23" fillId="0" borderId="2" xfId="0" applyFont="1" applyFill="1" applyBorder="1" applyAlignment="1">
      <alignment horizontal="justify" vertical="top" wrapText="1"/>
    </xf>
    <xf numFmtId="0" fontId="24" fillId="0" borderId="2" xfId="0" applyFont="1" applyFill="1" applyBorder="1" applyAlignment="1">
      <alignment horizontal="center" vertical="top" wrapText="1"/>
    </xf>
    <xf numFmtId="3" fontId="23" fillId="0" borderId="11" xfId="0" applyNumberFormat="1" applyFont="1" applyFill="1" applyBorder="1"/>
    <xf numFmtId="0" fontId="23" fillId="0" borderId="2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vertical="top"/>
    </xf>
    <xf numFmtId="3" fontId="23" fillId="0" borderId="11" xfId="0" applyNumberFormat="1" applyFont="1" applyFill="1" applyBorder="1" applyAlignment="1">
      <alignment vertical="top"/>
    </xf>
    <xf numFmtId="0" fontId="25" fillId="0" borderId="11" xfId="0" applyNumberFormat="1" applyFont="1" applyFill="1" applyBorder="1" applyAlignment="1">
      <alignment horizontal="center" vertical="center"/>
    </xf>
    <xf numFmtId="0" fontId="25" fillId="0" borderId="11" xfId="0" applyFont="1" applyFill="1" applyBorder="1"/>
    <xf numFmtId="0" fontId="25" fillId="0" borderId="11" xfId="0" applyFont="1" applyFill="1" applyBorder="1" applyAlignment="1">
      <alignment horizontal="justify" vertical="top" wrapText="1"/>
    </xf>
    <xf numFmtId="3" fontId="25" fillId="0" borderId="11" xfId="0" applyNumberFormat="1" applyFont="1" applyFill="1" applyBorder="1"/>
    <xf numFmtId="0" fontId="27" fillId="0" borderId="0" xfId="0" applyFont="1" applyFill="1"/>
    <xf numFmtId="0" fontId="18" fillId="0" borderId="11" xfId="0" applyFont="1" applyFill="1" applyBorder="1" applyAlignment="1">
      <alignment horizontal="center" vertical="center"/>
    </xf>
    <xf numFmtId="9" fontId="24" fillId="0" borderId="11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vertical="center"/>
    </xf>
    <xf numFmtId="2" fontId="21" fillId="0" borderId="0" xfId="0" applyNumberFormat="1" applyFont="1" applyFill="1"/>
    <xf numFmtId="0" fontId="27" fillId="0" borderId="11" xfId="0" applyNumberFormat="1" applyFont="1" applyFill="1" applyBorder="1" applyAlignment="1">
      <alignment horizontal="center" vertical="center"/>
    </xf>
    <xf numFmtId="0" fontId="27" fillId="0" borderId="1" xfId="0" applyFont="1" applyFill="1" applyBorder="1"/>
    <xf numFmtId="0" fontId="18" fillId="0" borderId="1" xfId="0" applyFont="1" applyFill="1" applyBorder="1" applyAlignment="1">
      <alignment horizontal="right" vertical="top" wrapText="1"/>
    </xf>
    <xf numFmtId="3" fontId="25" fillId="0" borderId="1" xfId="0" applyNumberFormat="1" applyFont="1" applyFill="1" applyBorder="1" applyAlignment="1">
      <alignment vertical="center"/>
    </xf>
    <xf numFmtId="0" fontId="25" fillId="0" borderId="2" xfId="0" applyFont="1" applyFill="1" applyBorder="1"/>
    <xf numFmtId="9" fontId="24" fillId="0" borderId="2" xfId="0" applyNumberFormat="1" applyFont="1" applyFill="1" applyBorder="1" applyAlignment="1">
      <alignment horizontal="right" vertical="top" wrapText="1"/>
    </xf>
    <xf numFmtId="3" fontId="25" fillId="0" borderId="2" xfId="0" applyNumberFormat="1" applyFont="1" applyFill="1" applyBorder="1"/>
    <xf numFmtId="0" fontId="27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justify" vertical="top" wrapText="1"/>
    </xf>
    <xf numFmtId="0" fontId="27" fillId="0" borderId="12" xfId="0" applyFont="1" applyFill="1" applyBorder="1"/>
    <xf numFmtId="0" fontId="18" fillId="0" borderId="12" xfId="0" applyFont="1" applyFill="1" applyBorder="1" applyAlignment="1">
      <alignment horizontal="right" vertical="top" wrapText="1"/>
    </xf>
    <xf numFmtId="3" fontId="25" fillId="0" borderId="12" xfId="0" applyNumberFormat="1" applyFont="1" applyFill="1" applyBorder="1"/>
    <xf numFmtId="0" fontId="25" fillId="0" borderId="12" xfId="0" applyFont="1" applyFill="1" applyBorder="1"/>
    <xf numFmtId="0" fontId="2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top" wrapText="1"/>
    </xf>
    <xf numFmtId="0" fontId="27" fillId="0" borderId="0" xfId="0" applyFont="1" applyFill="1" applyBorder="1"/>
    <xf numFmtId="0" fontId="25" fillId="0" borderId="0" xfId="0" applyFont="1" applyFill="1" applyBorder="1" applyAlignment="1">
      <alignment horizontal="justify" vertical="top" wrapText="1"/>
    </xf>
    <xf numFmtId="3" fontId="25" fillId="0" borderId="0" xfId="0" applyNumberFormat="1" applyFont="1" applyFill="1" applyBorder="1"/>
    <xf numFmtId="0" fontId="25" fillId="0" borderId="0" xfId="0" applyFont="1" applyFill="1" applyBorder="1"/>
    <xf numFmtId="0" fontId="5" fillId="0" borderId="1" xfId="0" applyFont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/>
    <xf numFmtId="168" fontId="4" fillId="0" borderId="1" xfId="2" applyNumberFormat="1" applyFont="1" applyBorder="1" applyAlignment="1">
      <alignment horizontal="center" vertical="center" wrapText="1"/>
    </xf>
    <xf numFmtId="168" fontId="11" fillId="0" borderId="1" xfId="2" applyNumberFormat="1" applyFont="1" applyBorder="1" applyAlignment="1">
      <alignment horizontal="center" vertical="center"/>
    </xf>
    <xf numFmtId="168" fontId="4" fillId="0" borderId="9" xfId="2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168" fontId="1" fillId="0" borderId="2" xfId="2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" fillId="0" borderId="3" xfId="2" applyNumberFormat="1" applyFont="1" applyBorder="1" applyAlignment="1">
      <alignment horizontal="center" vertical="center"/>
    </xf>
    <xf numFmtId="168" fontId="1" fillId="0" borderId="0" xfId="2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8" fillId="2" borderId="2" xfId="0" applyFont="1" applyFill="1" applyBorder="1" applyAlignment="1">
      <alignment horizontal="justify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/>
    <xf numFmtId="0" fontId="30" fillId="0" borderId="1" xfId="0" applyFont="1" applyBorder="1"/>
    <xf numFmtId="3" fontId="30" fillId="0" borderId="1" xfId="0" applyNumberFormat="1" applyFont="1" applyBorder="1"/>
    <xf numFmtId="0" fontId="31" fillId="0" borderId="1" xfId="0" applyFont="1" applyBorder="1" applyAlignment="1">
      <alignment horizontal="center"/>
    </xf>
    <xf numFmtId="0" fontId="32" fillId="0" borderId="1" xfId="0" applyFont="1" applyBorder="1"/>
    <xf numFmtId="3" fontId="31" fillId="0" borderId="1" xfId="0" applyNumberFormat="1" applyFont="1" applyBorder="1"/>
    <xf numFmtId="0" fontId="30" fillId="0" borderId="1" xfId="0" applyFont="1" applyBorder="1" applyAlignment="1">
      <alignment horizontal="justify" vertical="top" wrapText="1"/>
    </xf>
    <xf numFmtId="0" fontId="30" fillId="0" borderId="1" xfId="0" applyFont="1" applyBorder="1" applyAlignment="1">
      <alignment vertical="center"/>
    </xf>
    <xf numFmtId="0" fontId="30" fillId="0" borderId="1" xfId="0" applyNumberFormat="1" applyFont="1" applyBorder="1" applyAlignment="1">
      <alignment vertical="center"/>
    </xf>
    <xf numFmtId="2" fontId="30" fillId="0" borderId="1" xfId="0" applyNumberFormat="1" applyFont="1" applyBorder="1" applyAlignment="1">
      <alignment vertical="center"/>
    </xf>
    <xf numFmtId="3" fontId="30" fillId="0" borderId="1" xfId="0" applyNumberFormat="1" applyFont="1" applyBorder="1" applyAlignment="1">
      <alignment vertical="center"/>
    </xf>
    <xf numFmtId="0" fontId="30" fillId="0" borderId="1" xfId="0" applyFont="1" applyBorder="1" applyAlignment="1">
      <alignment horizontal="center"/>
    </xf>
    <xf numFmtId="0" fontId="1" fillId="0" borderId="0" xfId="0" applyFont="1" applyFill="1"/>
    <xf numFmtId="0" fontId="11" fillId="0" borderId="0" xfId="0" applyFont="1" applyFill="1"/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1" fillId="0" borderId="4" xfId="0" applyFont="1" applyFill="1" applyBorder="1"/>
    <xf numFmtId="3" fontId="21" fillId="0" borderId="4" xfId="0" applyNumberFormat="1" applyFont="1" applyFill="1" applyBorder="1"/>
    <xf numFmtId="0" fontId="4" fillId="0" borderId="4" xfId="0" applyFont="1" applyFill="1" applyBorder="1"/>
    <xf numFmtId="0" fontId="27" fillId="0" borderId="4" xfId="0" applyFont="1" applyFill="1" applyBorder="1"/>
    <xf numFmtId="0" fontId="22" fillId="0" borderId="2" xfId="0" applyFont="1" applyFill="1" applyBorder="1" applyAlignment="1">
      <alignment horizontal="justify" vertical="top" wrapText="1"/>
    </xf>
    <xf numFmtId="0" fontId="22" fillId="0" borderId="2" xfId="0" applyFont="1" applyFill="1" applyBorder="1" applyAlignment="1">
      <alignment horizontal="right" vertical="center" wrapText="1"/>
    </xf>
    <xf numFmtId="3" fontId="22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justify" vertical="top" wrapText="1"/>
    </xf>
    <xf numFmtId="0" fontId="21" fillId="0" borderId="2" xfId="0" applyFont="1" applyFill="1" applyBorder="1" applyAlignment="1">
      <alignment horizontal="right" vertical="center"/>
    </xf>
    <xf numFmtId="3" fontId="21" fillId="0" borderId="2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_CP TGPTGT" xfId="1" xr:uid="{CCC292ED-EA57-4673-95B3-EB79B6831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%20lieu%20Thuan/XD%20VBQPPL/HD%20Luat%20nha%20o/Tinh%20khung%20gia%20QLVH%20chung%20cu%20tren%205%20tang-Quang%20Binh%20(chu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ự toán"/>
      <sheetName val="PL1"/>
      <sheetName val="PL2"/>
      <sheetName val="PL3"/>
      <sheetName val="PL4"/>
      <sheetName val="PL5"/>
      <sheetName val="PL6"/>
      <sheetName val="PL7"/>
      <sheetName val="PL8"/>
      <sheetName val="PL9"/>
      <sheetName val="PL10"/>
    </sheetNames>
    <sheetDataSet>
      <sheetData sheetId="0"/>
      <sheetData sheetId="1">
        <row r="9">
          <cell r="F9">
            <v>2027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5" zoomScaleNormal="85" workbookViewId="0">
      <selection activeCell="O12" sqref="O12"/>
    </sheetView>
  </sheetViews>
  <sheetFormatPr defaultColWidth="9.109375" defaultRowHeight="18" x14ac:dyDescent="0.35"/>
  <cols>
    <col min="1" max="1" width="5.109375" style="80" bestFit="1" customWidth="1"/>
    <col min="2" max="2" width="32.88671875" style="79" customWidth="1"/>
    <col min="3" max="3" width="6.77734375" style="79" customWidth="1"/>
    <col min="4" max="4" width="15.5546875" style="79" customWidth="1"/>
    <col min="5" max="7" width="14.109375" style="79" customWidth="1"/>
    <col min="8" max="8" width="15.5546875" style="79" customWidth="1"/>
    <col min="9" max="9" width="12.88671875" style="79" customWidth="1"/>
    <col min="10" max="16384" width="9.109375" style="79"/>
  </cols>
  <sheetData>
    <row r="1" spans="1:10" x14ac:dyDescent="0.35">
      <c r="A1" s="151" t="s">
        <v>120</v>
      </c>
      <c r="B1" s="151"/>
      <c r="C1" s="151"/>
      <c r="D1" s="151"/>
      <c r="E1" s="151"/>
      <c r="F1" s="151"/>
      <c r="G1" s="151"/>
      <c r="H1" s="151"/>
      <c r="I1" s="151"/>
    </row>
    <row r="2" spans="1:10" x14ac:dyDescent="0.35">
      <c r="A2" s="151" t="s">
        <v>245</v>
      </c>
      <c r="B2" s="151"/>
      <c r="C2" s="151"/>
      <c r="D2" s="151"/>
      <c r="E2" s="151"/>
      <c r="F2" s="151"/>
      <c r="G2" s="151"/>
      <c r="H2" s="151"/>
      <c r="I2" s="151"/>
    </row>
    <row r="4" spans="1:10" x14ac:dyDescent="0.35">
      <c r="E4" s="81" t="s">
        <v>2</v>
      </c>
      <c r="F4" s="81"/>
      <c r="G4" s="81"/>
      <c r="H4" s="81"/>
    </row>
    <row r="5" spans="1:10" x14ac:dyDescent="0.35">
      <c r="A5" s="153" t="s">
        <v>3</v>
      </c>
      <c r="B5" s="152" t="s">
        <v>52</v>
      </c>
      <c r="C5" s="152" t="s">
        <v>15</v>
      </c>
      <c r="D5" s="152" t="s">
        <v>121</v>
      </c>
      <c r="E5" s="154" t="s">
        <v>122</v>
      </c>
      <c r="F5" s="155"/>
      <c r="G5" s="155"/>
      <c r="H5" s="156"/>
      <c r="I5" s="152" t="s">
        <v>9</v>
      </c>
      <c r="J5" s="82"/>
    </row>
    <row r="6" spans="1:10" x14ac:dyDescent="0.35">
      <c r="A6" s="153"/>
      <c r="B6" s="152"/>
      <c r="C6" s="152"/>
      <c r="D6" s="152"/>
      <c r="E6" s="157" t="s">
        <v>250</v>
      </c>
      <c r="F6" s="158"/>
      <c r="G6" s="157" t="s">
        <v>251</v>
      </c>
      <c r="H6" s="158"/>
      <c r="I6" s="152"/>
      <c r="J6" s="82"/>
    </row>
    <row r="7" spans="1:10" x14ac:dyDescent="0.35">
      <c r="A7" s="83"/>
      <c r="B7" s="84"/>
      <c r="C7" s="84"/>
      <c r="D7" s="84"/>
      <c r="E7" s="85" t="s">
        <v>7</v>
      </c>
      <c r="F7" s="86" t="s">
        <v>8</v>
      </c>
      <c r="G7" s="85" t="s">
        <v>7</v>
      </c>
      <c r="H7" s="86" t="s">
        <v>8</v>
      </c>
      <c r="I7" s="84"/>
      <c r="J7" s="82"/>
    </row>
    <row r="8" spans="1:10" ht="19.5" customHeight="1" x14ac:dyDescent="0.35">
      <c r="A8" s="87">
        <v>1</v>
      </c>
      <c r="B8" s="88">
        <v>2</v>
      </c>
      <c r="C8" s="88">
        <v>3</v>
      </c>
      <c r="D8" s="88">
        <v>4</v>
      </c>
      <c r="E8" s="88">
        <v>5</v>
      </c>
      <c r="F8" s="88">
        <v>6</v>
      </c>
      <c r="G8" s="88">
        <v>5</v>
      </c>
      <c r="H8" s="88">
        <v>6</v>
      </c>
      <c r="I8" s="88">
        <v>8</v>
      </c>
    </row>
    <row r="9" spans="1:10" s="94" customFormat="1" ht="31.2" x14ac:dyDescent="0.3">
      <c r="A9" s="89" t="s">
        <v>236</v>
      </c>
      <c r="B9" s="90" t="s">
        <v>123</v>
      </c>
      <c r="C9" s="91"/>
      <c r="D9" s="92" t="s">
        <v>240</v>
      </c>
      <c r="E9" s="93">
        <f>+E10+E13+E16+E19+E22+E27+E29</f>
        <v>30265370.817333329</v>
      </c>
      <c r="F9" s="93">
        <f>+F10+F13+F16+F19+F22+F27+F29</f>
        <v>363228233.00799996</v>
      </c>
      <c r="G9" s="93">
        <f>+G10+G13+G16+G19+G22+G27+G29</f>
        <v>84202041.269333318</v>
      </c>
      <c r="H9" s="93">
        <f>+H10+H13+H16+H19+H22+H27+H29</f>
        <v>1010599628.0320001</v>
      </c>
      <c r="I9" s="90"/>
    </row>
    <row r="10" spans="1:10" s="94" customFormat="1" ht="17.399999999999999" x14ac:dyDescent="0.3">
      <c r="A10" s="95">
        <v>1</v>
      </c>
      <c r="B10" s="96" t="s">
        <v>176</v>
      </c>
      <c r="C10" s="97"/>
      <c r="D10" s="98" t="s">
        <v>232</v>
      </c>
      <c r="E10" s="99">
        <f>+E11+E12</f>
        <v>1479187.5</v>
      </c>
      <c r="F10" s="99">
        <f>+F11+F12</f>
        <v>17750250</v>
      </c>
      <c r="G10" s="99">
        <f>+G11+G12</f>
        <v>5552580</v>
      </c>
      <c r="H10" s="99">
        <f>+H11+H12</f>
        <v>66630960</v>
      </c>
      <c r="I10" s="96"/>
    </row>
    <row r="11" spans="1:10" s="106" customFormat="1" ht="31.2" x14ac:dyDescent="0.35">
      <c r="A11" s="100" t="s">
        <v>180</v>
      </c>
      <c r="B11" s="101" t="s">
        <v>124</v>
      </c>
      <c r="C11" s="102"/>
      <c r="D11" s="103" t="s">
        <v>201</v>
      </c>
      <c r="E11" s="104">
        <f>'PL1'!G10</f>
        <v>1337820</v>
      </c>
      <c r="F11" s="104">
        <f>'PL1'!H10</f>
        <v>16053840</v>
      </c>
      <c r="G11" s="104">
        <f>'PL1'!G13</f>
        <v>5351280</v>
      </c>
      <c r="H11" s="104">
        <f>'PL1'!H13</f>
        <v>64215360</v>
      </c>
      <c r="I11" s="105"/>
    </row>
    <row r="12" spans="1:10" s="106" customFormat="1" ht="31.2" x14ac:dyDescent="0.35">
      <c r="A12" s="100" t="s">
        <v>181</v>
      </c>
      <c r="B12" s="101" t="s">
        <v>125</v>
      </c>
      <c r="C12" s="102"/>
      <c r="D12" s="103" t="s">
        <v>202</v>
      </c>
      <c r="E12" s="107">
        <f>'PL2'!J9</f>
        <v>141367.5</v>
      </c>
      <c r="F12" s="107">
        <f>'PL2'!K9</f>
        <v>1696410</v>
      </c>
      <c r="G12" s="107">
        <f>'PL2'!J15</f>
        <v>201300</v>
      </c>
      <c r="H12" s="107">
        <f>'PL2'!K15</f>
        <v>2415600</v>
      </c>
      <c r="I12" s="105"/>
    </row>
    <row r="13" spans="1:10" s="112" customFormat="1" ht="31.2" x14ac:dyDescent="0.3">
      <c r="A13" s="108">
        <v>2</v>
      </c>
      <c r="B13" s="96" t="s">
        <v>228</v>
      </c>
      <c r="C13" s="109"/>
      <c r="D13" s="110" t="s">
        <v>203</v>
      </c>
      <c r="E13" s="111">
        <f>'PL3'!K13</f>
        <v>25893088</v>
      </c>
      <c r="F13" s="111">
        <f>'PL3'!L13</f>
        <v>310717056</v>
      </c>
      <c r="G13" s="111">
        <f>'PL3'!K7</f>
        <v>68606928</v>
      </c>
      <c r="H13" s="111">
        <f>'PL3'!L7</f>
        <v>823283136</v>
      </c>
      <c r="I13" s="109"/>
    </row>
    <row r="14" spans="1:10" s="106" customFormat="1" hidden="1" x14ac:dyDescent="0.35">
      <c r="A14" s="100"/>
      <c r="B14" s="101"/>
      <c r="C14" s="113"/>
      <c r="D14" s="103"/>
      <c r="E14" s="107"/>
      <c r="F14" s="107"/>
      <c r="G14" s="107"/>
      <c r="H14" s="107"/>
      <c r="I14" s="113"/>
    </row>
    <row r="15" spans="1:10" s="106" customFormat="1" ht="46.8" hidden="1" x14ac:dyDescent="0.35">
      <c r="A15" s="100"/>
      <c r="B15" s="101" t="s">
        <v>229</v>
      </c>
      <c r="C15" s="113"/>
      <c r="D15" s="103" t="s">
        <v>203</v>
      </c>
      <c r="E15" s="107">
        <f>'PL3'!I7</f>
        <v>0</v>
      </c>
      <c r="F15" s="107">
        <f>+'PL3'!J7</f>
        <v>0</v>
      </c>
      <c r="G15" s="107">
        <f>'PL3'!K7</f>
        <v>68606928</v>
      </c>
      <c r="H15" s="107">
        <f>+'PL3'!L7</f>
        <v>823283136</v>
      </c>
      <c r="I15" s="113"/>
    </row>
    <row r="16" spans="1:10" s="112" customFormat="1" ht="31.2" x14ac:dyDescent="0.3">
      <c r="A16" s="108">
        <v>3</v>
      </c>
      <c r="B16" s="96" t="s">
        <v>164</v>
      </c>
      <c r="C16" s="109"/>
      <c r="D16" s="110"/>
      <c r="E16" s="111">
        <f>+E17+E18</f>
        <v>1540468.72</v>
      </c>
      <c r="F16" s="111">
        <f>+F17+F18</f>
        <v>18529407.84</v>
      </c>
      <c r="G16" s="111">
        <f>+G17+G18</f>
        <v>6442846.8799999999</v>
      </c>
      <c r="H16" s="111">
        <f>+H17+H18</f>
        <v>77489295.359999999</v>
      </c>
      <c r="I16" s="109"/>
    </row>
    <row r="17" spans="1:16" x14ac:dyDescent="0.35">
      <c r="A17" s="114" t="s">
        <v>184</v>
      </c>
      <c r="B17" s="101" t="s">
        <v>165</v>
      </c>
      <c r="C17" s="113"/>
      <c r="D17" s="103" t="s">
        <v>204</v>
      </c>
      <c r="E17" s="107">
        <f>'PL4'!G7</f>
        <v>1332468.72</v>
      </c>
      <c r="F17" s="107">
        <f>'PL4'!H7</f>
        <v>16033407.84</v>
      </c>
      <c r="G17" s="107">
        <f>'PL4'!G21</f>
        <v>5402846.8799999999</v>
      </c>
      <c r="H17" s="107">
        <f>'PL4'!H21</f>
        <v>65009295.359999999</v>
      </c>
      <c r="I17" s="115"/>
    </row>
    <row r="18" spans="1:16" ht="46.8" x14ac:dyDescent="0.35">
      <c r="A18" s="114" t="s">
        <v>185</v>
      </c>
      <c r="B18" s="116" t="s">
        <v>247</v>
      </c>
      <c r="C18" s="113"/>
      <c r="D18" s="117"/>
      <c r="E18" s="107">
        <f>10400*20</f>
        <v>208000</v>
      </c>
      <c r="F18" s="107">
        <f>+E18*12</f>
        <v>2496000</v>
      </c>
      <c r="G18" s="107">
        <f>10400*100</f>
        <v>1040000</v>
      </c>
      <c r="H18" s="107">
        <f>+G18*12</f>
        <v>12480000</v>
      </c>
      <c r="I18" s="101"/>
    </row>
    <row r="19" spans="1:16" s="112" customFormat="1" ht="46.8" x14ac:dyDescent="0.3">
      <c r="A19" s="108">
        <v>4</v>
      </c>
      <c r="B19" s="96" t="s">
        <v>166</v>
      </c>
      <c r="C19" s="109"/>
      <c r="D19" s="110"/>
      <c r="E19" s="111">
        <f>+E20+E21</f>
        <v>423577.08333333331</v>
      </c>
      <c r="F19" s="111">
        <f>+F20+F21</f>
        <v>5082925</v>
      </c>
      <c r="G19" s="111">
        <f>+G20+G21</f>
        <v>682150.00000000012</v>
      </c>
      <c r="H19" s="111">
        <f>+H20+H21</f>
        <v>8185800</v>
      </c>
      <c r="I19" s="109"/>
    </row>
    <row r="20" spans="1:16" s="106" customFormat="1" ht="31.2" x14ac:dyDescent="0.35">
      <c r="A20" s="100" t="s">
        <v>186</v>
      </c>
      <c r="B20" s="101" t="s">
        <v>167</v>
      </c>
      <c r="C20" s="113"/>
      <c r="D20" s="103" t="s">
        <v>205</v>
      </c>
      <c r="E20" s="118">
        <f>'PL5'!H7</f>
        <v>344327.08333333331</v>
      </c>
      <c r="F20" s="118">
        <f>'PL5'!I7</f>
        <v>4131925</v>
      </c>
      <c r="G20" s="118">
        <f>'PL5'!H31</f>
        <v>602900.00000000012</v>
      </c>
      <c r="H20" s="118">
        <f>'PL5'!I31</f>
        <v>7234800</v>
      </c>
      <c r="I20" s="113"/>
    </row>
    <row r="21" spans="1:16" s="106" customFormat="1" ht="31.2" x14ac:dyDescent="0.35">
      <c r="A21" s="100" t="s">
        <v>187</v>
      </c>
      <c r="B21" s="101" t="s">
        <v>168</v>
      </c>
      <c r="C21" s="113"/>
      <c r="D21" s="103" t="s">
        <v>205</v>
      </c>
      <c r="E21" s="118">
        <f>'PL5'!H20</f>
        <v>79250.000000000015</v>
      </c>
      <c r="F21" s="118">
        <f>'PL5'!I20</f>
        <v>951000</v>
      </c>
      <c r="G21" s="118">
        <f>'PL5'!H44</f>
        <v>79250.000000000015</v>
      </c>
      <c r="H21" s="118">
        <f>'PL5'!I44</f>
        <v>951000</v>
      </c>
      <c r="I21" s="113"/>
    </row>
    <row r="22" spans="1:16" s="112" customFormat="1" ht="17.399999999999999" x14ac:dyDescent="0.3">
      <c r="A22" s="108">
        <v>5</v>
      </c>
      <c r="B22" s="96" t="s">
        <v>172</v>
      </c>
      <c r="C22" s="109"/>
      <c r="D22" s="110"/>
      <c r="E22" s="111">
        <f>+E23+E24+E25+E26</f>
        <v>589701.18066666671</v>
      </c>
      <c r="F22" s="111">
        <f>+F23+F24+F25+F26</f>
        <v>7076414.1679999996</v>
      </c>
      <c r="G22" s="111">
        <f>+G23+G24+G25+G26</f>
        <v>2328188.0559999999</v>
      </c>
      <c r="H22" s="111">
        <f>+H23+H24+H25+H26</f>
        <v>27938256.671999998</v>
      </c>
      <c r="I22" s="109"/>
    </row>
    <row r="23" spans="1:16" s="106" customFormat="1" x14ac:dyDescent="0.35">
      <c r="A23" s="100" t="s">
        <v>188</v>
      </c>
      <c r="B23" s="101" t="s">
        <v>169</v>
      </c>
      <c r="C23" s="113"/>
      <c r="D23" s="119" t="s">
        <v>206</v>
      </c>
      <c r="E23" s="118">
        <f>'PL6'!F7</f>
        <v>5166.6666666666661</v>
      </c>
      <c r="F23" s="118">
        <f>'PL6'!G7</f>
        <v>62000</v>
      </c>
      <c r="G23" s="118">
        <f>'PL6'!F14</f>
        <v>21250</v>
      </c>
      <c r="H23" s="118">
        <f>'PL6'!G14</f>
        <v>255000</v>
      </c>
      <c r="I23" s="113"/>
    </row>
    <row r="24" spans="1:16" s="106" customFormat="1" x14ac:dyDescent="0.35">
      <c r="A24" s="100" t="s">
        <v>189</v>
      </c>
      <c r="B24" s="101" t="s">
        <v>170</v>
      </c>
      <c r="C24" s="113"/>
      <c r="D24" s="119" t="s">
        <v>207</v>
      </c>
      <c r="E24" s="118">
        <f>'PL7'!G7</f>
        <v>409859.39999999997</v>
      </c>
      <c r="F24" s="118">
        <f>'PL7'!H7</f>
        <v>4918312.7999999989</v>
      </c>
      <c r="G24" s="118">
        <f>'PL7'!G17</f>
        <v>1639437.5999999999</v>
      </c>
      <c r="H24" s="118">
        <f>'PL7'!H17</f>
        <v>19673251.199999996</v>
      </c>
      <c r="I24" s="113"/>
    </row>
    <row r="25" spans="1:16" s="106" customFormat="1" x14ac:dyDescent="0.35">
      <c r="A25" s="100" t="s">
        <v>190</v>
      </c>
      <c r="B25" s="101" t="s">
        <v>171</v>
      </c>
      <c r="C25" s="113"/>
      <c r="D25" s="119" t="s">
        <v>208</v>
      </c>
      <c r="E25" s="118">
        <f>'PL8'!G7</f>
        <v>143475.11400000003</v>
      </c>
      <c r="F25" s="118">
        <f>'PL8'!H7</f>
        <v>1721701.3680000005</v>
      </c>
      <c r="G25" s="118">
        <f>'PL8'!G16</f>
        <v>573900.45600000012</v>
      </c>
      <c r="H25" s="118">
        <f>'PL8'!H16</f>
        <v>6886805.4720000019</v>
      </c>
      <c r="I25" s="113"/>
    </row>
    <row r="26" spans="1:16" s="106" customFormat="1" ht="31.2" x14ac:dyDescent="0.35">
      <c r="A26" s="100" t="s">
        <v>191</v>
      </c>
      <c r="B26" s="116" t="s">
        <v>248</v>
      </c>
      <c r="C26" s="120"/>
      <c r="D26" s="101"/>
      <c r="E26" s="121">
        <f>10400*1*3</f>
        <v>31200</v>
      </c>
      <c r="F26" s="121">
        <f>+E26*12</f>
        <v>374400</v>
      </c>
      <c r="G26" s="121">
        <f>10400*1*9</f>
        <v>93600</v>
      </c>
      <c r="H26" s="121">
        <f>+G26*12</f>
        <v>1123200</v>
      </c>
      <c r="I26" s="113"/>
    </row>
    <row r="27" spans="1:16" s="112" customFormat="1" ht="17.399999999999999" x14ac:dyDescent="0.3">
      <c r="A27" s="108">
        <v>6</v>
      </c>
      <c r="B27" s="96" t="s">
        <v>173</v>
      </c>
      <c r="C27" s="109"/>
      <c r="D27" s="96"/>
      <c r="E27" s="111">
        <f>+E28</f>
        <v>83333.333333333328</v>
      </c>
      <c r="F27" s="111">
        <f>+F28</f>
        <v>1000000</v>
      </c>
      <c r="G27" s="111">
        <f>+G28</f>
        <v>333333.33333333331</v>
      </c>
      <c r="H27" s="111">
        <f>+H28</f>
        <v>4000000</v>
      </c>
      <c r="I27" s="109"/>
    </row>
    <row r="28" spans="1:16" s="106" customFormat="1" ht="31.2" x14ac:dyDescent="0.35">
      <c r="A28" s="100"/>
      <c r="B28" s="101" t="s">
        <v>174</v>
      </c>
      <c r="C28" s="113"/>
      <c r="D28" s="101" t="s">
        <v>224</v>
      </c>
      <c r="E28" s="118">
        <f>+F28/12</f>
        <v>83333.333333333328</v>
      </c>
      <c r="F28" s="118">
        <v>1000000</v>
      </c>
      <c r="G28" s="118">
        <f>+H28/12</f>
        <v>333333.33333333331</v>
      </c>
      <c r="H28" s="118">
        <v>4000000</v>
      </c>
      <c r="I28" s="113"/>
    </row>
    <row r="29" spans="1:16" s="126" customFormat="1" x14ac:dyDescent="0.35">
      <c r="A29" s="122">
        <v>7</v>
      </c>
      <c r="B29" s="96" t="s">
        <v>175</v>
      </c>
      <c r="C29" s="123"/>
      <c r="D29" s="124" t="s">
        <v>249</v>
      </c>
      <c r="E29" s="125">
        <f>+F29/12</f>
        <v>256015</v>
      </c>
      <c r="F29" s="125">
        <f>H29</f>
        <v>3072180</v>
      </c>
      <c r="G29" s="125">
        <f>+H29/12</f>
        <v>256015</v>
      </c>
      <c r="H29" s="125">
        <f>+'PL9'!F5</f>
        <v>3072180</v>
      </c>
      <c r="I29" s="123"/>
    </row>
    <row r="30" spans="1:16" s="126" customFormat="1" ht="46.8" x14ac:dyDescent="0.35">
      <c r="A30" s="127" t="s">
        <v>237</v>
      </c>
      <c r="B30" s="78" t="s">
        <v>235</v>
      </c>
      <c r="C30" s="123"/>
      <c r="D30" s="128" t="s">
        <v>239</v>
      </c>
      <c r="E30" s="129">
        <f>+E9*3%</f>
        <v>907961.12451999984</v>
      </c>
      <c r="F30" s="129">
        <f>+F9*3%</f>
        <v>10896846.990239998</v>
      </c>
      <c r="G30" s="129">
        <f>+G9*3%</f>
        <v>2526061.2380799996</v>
      </c>
      <c r="H30" s="129">
        <f>+H9*3%</f>
        <v>30317988.84096</v>
      </c>
      <c r="I30" s="123"/>
    </row>
    <row r="31" spans="1:16" s="112" customFormat="1" ht="31.2" x14ac:dyDescent="0.3">
      <c r="A31" s="108" t="s">
        <v>238</v>
      </c>
      <c r="B31" s="96" t="s">
        <v>225</v>
      </c>
      <c r="C31" s="109"/>
      <c r="D31" s="97"/>
      <c r="E31" s="111">
        <f>55*50</f>
        <v>2750</v>
      </c>
      <c r="F31" s="111"/>
      <c r="G31" s="111">
        <f>220*50</f>
        <v>11000</v>
      </c>
      <c r="H31" s="111"/>
      <c r="I31" s="109"/>
      <c r="P31" s="130"/>
    </row>
    <row r="32" spans="1:16" s="126" customFormat="1" ht="31.2" x14ac:dyDescent="0.35">
      <c r="A32" s="131"/>
      <c r="B32" s="78" t="s">
        <v>233</v>
      </c>
      <c r="C32" s="132"/>
      <c r="D32" s="133" t="s">
        <v>241</v>
      </c>
      <c r="E32" s="134">
        <f>+(E9+E30)/E31</f>
        <v>11335.757069764848</v>
      </c>
      <c r="F32" s="134">
        <f>+(F9+F30)/E31</f>
        <v>136045.48363572362</v>
      </c>
      <c r="G32" s="134">
        <f>+(G9+G30)/G31</f>
        <v>7884.3729552193918</v>
      </c>
      <c r="H32" s="134">
        <f>+(H9+H30)/G31</f>
        <v>94628.874261178193</v>
      </c>
      <c r="I32" s="123"/>
    </row>
    <row r="33" spans="1:9" s="126" customFormat="1" ht="31.2" x14ac:dyDescent="0.35">
      <c r="A33" s="131"/>
      <c r="B33" s="78" t="s">
        <v>234</v>
      </c>
      <c r="C33" s="135"/>
      <c r="D33" s="136"/>
      <c r="E33" s="137">
        <f>+E32*1.1</f>
        <v>12469.332776741334</v>
      </c>
      <c r="F33" s="137">
        <f>+F32*1.1</f>
        <v>149650.03199929598</v>
      </c>
      <c r="G33" s="137">
        <f>+G32*1.1</f>
        <v>8672.8102507413314</v>
      </c>
      <c r="H33" s="137">
        <f>+H32*1.1</f>
        <v>104091.76168729602</v>
      </c>
      <c r="I33" s="123"/>
    </row>
    <row r="34" spans="1:9" s="126" customFormat="1" x14ac:dyDescent="0.35">
      <c r="A34" s="138"/>
      <c r="B34" s="139"/>
      <c r="C34" s="140"/>
      <c r="D34" s="141"/>
      <c r="E34" s="142"/>
      <c r="F34" s="142"/>
      <c r="G34" s="142"/>
      <c r="H34" s="142"/>
      <c r="I34" s="143"/>
    </row>
    <row r="35" spans="1:9" s="126" customFormat="1" x14ac:dyDescent="0.35">
      <c r="A35" s="144"/>
      <c r="B35" s="145"/>
      <c r="C35" s="146"/>
      <c r="D35" s="147"/>
      <c r="E35" s="148"/>
      <c r="F35" s="148"/>
      <c r="G35" s="148"/>
      <c r="H35" s="148"/>
      <c r="I35" s="149"/>
    </row>
    <row r="36" spans="1:9" x14ac:dyDescent="0.35">
      <c r="D36" s="79" t="s">
        <v>258</v>
      </c>
      <c r="E36" s="79" t="s">
        <v>259</v>
      </c>
      <c r="F36" s="79">
        <v>12500</v>
      </c>
      <c r="G36" s="79" t="s">
        <v>261</v>
      </c>
    </row>
    <row r="37" spans="1:9" x14ac:dyDescent="0.35">
      <c r="E37" s="79" t="s">
        <v>260</v>
      </c>
      <c r="F37" s="79">
        <v>8670</v>
      </c>
      <c r="G37" s="79" t="s">
        <v>261</v>
      </c>
    </row>
  </sheetData>
  <mergeCells count="10">
    <mergeCell ref="A1:I1"/>
    <mergeCell ref="A2:I2"/>
    <mergeCell ref="D5:D6"/>
    <mergeCell ref="C5:C6"/>
    <mergeCell ref="B5:B6"/>
    <mergeCell ref="A5:A6"/>
    <mergeCell ref="I5:I6"/>
    <mergeCell ref="E5:H5"/>
    <mergeCell ref="E6:F6"/>
    <mergeCell ref="G6:H6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"/>
  <sheetViews>
    <sheetView topLeftCell="A10" zoomScaleNormal="100" workbookViewId="0">
      <selection activeCell="J23" sqref="J23"/>
    </sheetView>
  </sheetViews>
  <sheetFormatPr defaultColWidth="9.109375" defaultRowHeight="18" x14ac:dyDescent="0.35"/>
  <cols>
    <col min="1" max="1" width="5.109375" style="1" bestFit="1" customWidth="1"/>
    <col min="2" max="2" width="48.5546875" style="1" customWidth="1"/>
    <col min="3" max="3" width="9" style="176" customWidth="1"/>
    <col min="4" max="4" width="8.5546875" style="176" customWidth="1"/>
    <col min="5" max="5" width="13" style="176" customWidth="1"/>
    <col min="6" max="6" width="16.88671875" style="176" customWidth="1"/>
    <col min="7" max="7" width="21.33203125" style="176" customWidth="1"/>
    <col min="8" max="16384" width="9.109375" style="1"/>
  </cols>
  <sheetData>
    <row r="1" spans="1:7" x14ac:dyDescent="0.35">
      <c r="A1" s="160" t="s">
        <v>51</v>
      </c>
      <c r="B1" s="160"/>
      <c r="C1" s="160"/>
      <c r="D1" s="160"/>
      <c r="E1" s="160"/>
      <c r="F1" s="160"/>
      <c r="G1" s="160"/>
    </row>
    <row r="2" spans="1:7" x14ac:dyDescent="0.35">
      <c r="A2" s="160" t="s">
        <v>214</v>
      </c>
      <c r="B2" s="160"/>
      <c r="C2" s="160"/>
      <c r="D2" s="160"/>
      <c r="E2" s="160"/>
      <c r="F2" s="160"/>
      <c r="G2" s="160"/>
    </row>
    <row r="3" spans="1:7" s="24" customFormat="1" ht="34.799999999999997" x14ac:dyDescent="0.3">
      <c r="A3" s="211" t="s">
        <v>3</v>
      </c>
      <c r="B3" s="211" t="s">
        <v>52</v>
      </c>
      <c r="C3" s="211" t="s">
        <v>15</v>
      </c>
      <c r="D3" s="211" t="s">
        <v>53</v>
      </c>
      <c r="E3" s="211" t="s">
        <v>42</v>
      </c>
      <c r="F3" s="211" t="s">
        <v>36</v>
      </c>
      <c r="G3" s="211" t="s">
        <v>9</v>
      </c>
    </row>
    <row r="4" spans="1:7" x14ac:dyDescent="0.35">
      <c r="A4" s="212">
        <v>1</v>
      </c>
      <c r="B4" s="212">
        <v>2</v>
      </c>
      <c r="C4" s="212">
        <v>3</v>
      </c>
      <c r="D4" s="212">
        <v>4</v>
      </c>
      <c r="E4" s="212">
        <v>5</v>
      </c>
      <c r="F4" s="212">
        <v>6</v>
      </c>
      <c r="G4" s="212">
        <v>7</v>
      </c>
    </row>
    <row r="5" spans="1:7" x14ac:dyDescent="0.35">
      <c r="A5" s="212"/>
      <c r="B5" s="213" t="s">
        <v>199</v>
      </c>
      <c r="C5" s="213"/>
      <c r="D5" s="213"/>
      <c r="E5" s="213"/>
      <c r="F5" s="223">
        <f>+F6+F12+F17</f>
        <v>3072180</v>
      </c>
      <c r="G5" s="213"/>
    </row>
    <row r="6" spans="1:7" x14ac:dyDescent="0.35">
      <c r="A6" s="213" t="s">
        <v>162</v>
      </c>
      <c r="B6" s="216" t="s">
        <v>140</v>
      </c>
      <c r="C6" s="212"/>
      <c r="D6" s="212"/>
      <c r="E6" s="212"/>
      <c r="F6" s="223">
        <f>+SUM(F7:F11)</f>
        <v>1900000</v>
      </c>
      <c r="G6" s="212"/>
    </row>
    <row r="7" spans="1:7" x14ac:dyDescent="0.35">
      <c r="A7" s="195">
        <v>1</v>
      </c>
      <c r="B7" s="214" t="s">
        <v>141</v>
      </c>
      <c r="C7" s="221" t="s">
        <v>109</v>
      </c>
      <c r="D7" s="224">
        <v>1</v>
      </c>
      <c r="E7" s="224">
        <v>500000</v>
      </c>
      <c r="F7" s="224">
        <f>+E7*D7</f>
        <v>500000</v>
      </c>
      <c r="G7" s="221"/>
    </row>
    <row r="8" spans="1:7" x14ac:dyDescent="0.35">
      <c r="A8" s="195">
        <v>2</v>
      </c>
      <c r="B8" s="214" t="s">
        <v>142</v>
      </c>
      <c r="C8" s="221" t="str">
        <f>+C7</f>
        <v>Người</v>
      </c>
      <c r="D8" s="224">
        <v>1</v>
      </c>
      <c r="E8" s="224">
        <v>500000</v>
      </c>
      <c r="F8" s="224">
        <f t="shared" ref="F8:F11" si="0">+E8*D8</f>
        <v>500000</v>
      </c>
      <c r="G8" s="221"/>
    </row>
    <row r="9" spans="1:7" ht="36" x14ac:dyDescent="0.35">
      <c r="A9" s="195">
        <v>3</v>
      </c>
      <c r="B9" s="214" t="s">
        <v>143</v>
      </c>
      <c r="C9" s="221" t="s">
        <v>93</v>
      </c>
      <c r="D9" s="224">
        <v>6</v>
      </c>
      <c r="E9" s="224">
        <v>50000</v>
      </c>
      <c r="F9" s="224">
        <f t="shared" si="0"/>
        <v>300000</v>
      </c>
      <c r="G9" s="225" t="s">
        <v>151</v>
      </c>
    </row>
    <row r="10" spans="1:7" ht="36" x14ac:dyDescent="0.35">
      <c r="A10" s="195">
        <v>4</v>
      </c>
      <c r="B10" s="217" t="s">
        <v>145</v>
      </c>
      <c r="C10" s="221" t="s">
        <v>93</v>
      </c>
      <c r="D10" s="224">
        <v>1</v>
      </c>
      <c r="E10" s="224">
        <v>300000</v>
      </c>
      <c r="F10" s="224">
        <f t="shared" si="0"/>
        <v>300000</v>
      </c>
      <c r="G10" s="225" t="s">
        <v>153</v>
      </c>
    </row>
    <row r="11" spans="1:7" x14ac:dyDescent="0.35">
      <c r="A11" s="195">
        <v>5</v>
      </c>
      <c r="B11" s="217" t="s">
        <v>154</v>
      </c>
      <c r="C11" s="221"/>
      <c r="D11" s="224">
        <v>1</v>
      </c>
      <c r="E11" s="224">
        <v>300000</v>
      </c>
      <c r="F11" s="224">
        <f t="shared" si="0"/>
        <v>300000</v>
      </c>
      <c r="G11" s="221"/>
    </row>
    <row r="12" spans="1:7" s="24" customFormat="1" ht="17.399999999999999" x14ac:dyDescent="0.3">
      <c r="A12" s="218" t="s">
        <v>134</v>
      </c>
      <c r="B12" s="219" t="s">
        <v>144</v>
      </c>
      <c r="C12" s="213"/>
      <c r="D12" s="223"/>
      <c r="E12" s="213"/>
      <c r="F12" s="223">
        <f>+SUM(F13:F16)</f>
        <v>372180</v>
      </c>
      <c r="G12" s="213"/>
    </row>
    <row r="13" spans="1:7" ht="36" x14ac:dyDescent="0.35">
      <c r="A13" s="195">
        <v>1</v>
      </c>
      <c r="B13" s="217" t="s">
        <v>146</v>
      </c>
      <c r="C13" s="221" t="s">
        <v>155</v>
      </c>
      <c r="D13" s="221">
        <v>1</v>
      </c>
      <c r="E13" s="221">
        <v>100000</v>
      </c>
      <c r="F13" s="224"/>
      <c r="G13" s="221"/>
    </row>
    <row r="14" spans="1:7" ht="36" x14ac:dyDescent="0.35">
      <c r="A14" s="195">
        <v>2</v>
      </c>
      <c r="B14" s="217" t="s">
        <v>147</v>
      </c>
      <c r="C14" s="221" t="s">
        <v>156</v>
      </c>
      <c r="D14" s="224">
        <v>1</v>
      </c>
      <c r="E14" s="224">
        <v>150000</v>
      </c>
      <c r="F14" s="224">
        <f>+E14*D14</f>
        <v>150000</v>
      </c>
      <c r="G14" s="225"/>
    </row>
    <row r="15" spans="1:7" x14ac:dyDescent="0.35">
      <c r="A15" s="195">
        <v>3</v>
      </c>
      <c r="B15" s="217" t="s">
        <v>148</v>
      </c>
      <c r="C15" s="221" t="s">
        <v>157</v>
      </c>
      <c r="D15" s="224">
        <v>1</v>
      </c>
      <c r="E15" s="224">
        <v>22180</v>
      </c>
      <c r="F15" s="224">
        <f t="shared" ref="F15:F19" si="1">+E15*D15</f>
        <v>22180</v>
      </c>
      <c r="G15" s="225"/>
    </row>
    <row r="16" spans="1:7" x14ac:dyDescent="0.35">
      <c r="A16" s="195">
        <v>4</v>
      </c>
      <c r="B16" s="217" t="s">
        <v>149</v>
      </c>
      <c r="C16" s="221" t="s">
        <v>158</v>
      </c>
      <c r="D16" s="224">
        <v>1</v>
      </c>
      <c r="E16" s="224">
        <v>200000</v>
      </c>
      <c r="F16" s="224">
        <f t="shared" si="1"/>
        <v>200000</v>
      </c>
      <c r="G16" s="225"/>
    </row>
    <row r="17" spans="1:7" x14ac:dyDescent="0.35">
      <c r="A17" s="218" t="s">
        <v>163</v>
      </c>
      <c r="B17" s="219" t="s">
        <v>161</v>
      </c>
      <c r="C17" s="221"/>
      <c r="D17" s="224"/>
      <c r="E17" s="224"/>
      <c r="F17" s="223">
        <f>+SUM(F18:F19)</f>
        <v>800000</v>
      </c>
      <c r="G17" s="225"/>
    </row>
    <row r="18" spans="1:7" ht="36" x14ac:dyDescent="0.35">
      <c r="A18" s="195">
        <v>1</v>
      </c>
      <c r="B18" s="217" t="s">
        <v>150</v>
      </c>
      <c r="C18" s="221" t="s">
        <v>159</v>
      </c>
      <c r="D18" s="224">
        <v>1</v>
      </c>
      <c r="E18" s="224">
        <v>500000</v>
      </c>
      <c r="F18" s="224">
        <f t="shared" si="1"/>
        <v>500000</v>
      </c>
      <c r="G18" s="225"/>
    </row>
    <row r="19" spans="1:7" ht="36" x14ac:dyDescent="0.35">
      <c r="A19" s="199">
        <v>2</v>
      </c>
      <c r="B19" s="220" t="s">
        <v>152</v>
      </c>
      <c r="C19" s="222" t="s">
        <v>160</v>
      </c>
      <c r="D19" s="226">
        <v>6</v>
      </c>
      <c r="E19" s="226">
        <v>50000</v>
      </c>
      <c r="F19" s="226">
        <f t="shared" si="1"/>
        <v>300000</v>
      </c>
      <c r="G19" s="227"/>
    </row>
  </sheetData>
  <mergeCells count="2">
    <mergeCell ref="A2:G2"/>
    <mergeCell ref="A1:G1"/>
  </mergeCells>
  <pageMargins left="1.36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topLeftCell="A7" zoomScale="142" zoomScaleNormal="142" workbookViewId="0">
      <selection activeCell="H18" sqref="H18"/>
    </sheetView>
  </sheetViews>
  <sheetFormatPr defaultColWidth="9.109375" defaultRowHeight="18" x14ac:dyDescent="0.35"/>
  <cols>
    <col min="1" max="1" width="5.109375" style="176" bestFit="1" customWidth="1"/>
    <col min="2" max="2" width="32.88671875" style="1" customWidth="1"/>
    <col min="3" max="3" width="11.88671875" style="1" customWidth="1"/>
    <col min="4" max="4" width="9.5546875" style="1" customWidth="1"/>
    <col min="5" max="5" width="11.6640625" style="1" customWidth="1"/>
    <col min="6" max="6" width="11.44140625" style="1" customWidth="1"/>
    <col min="7" max="7" width="12.6640625" style="1" customWidth="1"/>
    <col min="8" max="8" width="15.6640625" style="1" customWidth="1"/>
    <col min="9" max="9" width="18" style="1" customWidth="1"/>
    <col min="10" max="16384" width="9.109375" style="1"/>
  </cols>
  <sheetData>
    <row r="1" spans="1:10" x14ac:dyDescent="0.35">
      <c r="A1" s="159" t="s">
        <v>0</v>
      </c>
      <c r="B1" s="159"/>
      <c r="C1" s="159"/>
      <c r="D1" s="159"/>
      <c r="E1" s="159"/>
      <c r="F1" s="159"/>
      <c r="G1" s="159"/>
      <c r="H1" s="159"/>
      <c r="I1" s="159"/>
    </row>
    <row r="2" spans="1:10" x14ac:dyDescent="0.35">
      <c r="A2" s="159" t="s">
        <v>1</v>
      </c>
      <c r="B2" s="159"/>
      <c r="C2" s="159"/>
      <c r="D2" s="159"/>
      <c r="E2" s="159"/>
      <c r="F2" s="159"/>
      <c r="G2" s="159"/>
      <c r="H2" s="159"/>
      <c r="I2" s="159"/>
    </row>
    <row r="4" spans="1:10" x14ac:dyDescent="0.35">
      <c r="A4" s="266"/>
      <c r="B4" s="247"/>
      <c r="C4" s="247"/>
      <c r="D4" s="247"/>
      <c r="E4" s="247"/>
      <c r="F4" s="247"/>
      <c r="G4" s="248" t="s">
        <v>2</v>
      </c>
      <c r="H4" s="248"/>
      <c r="I4" s="247"/>
    </row>
    <row r="5" spans="1:10" x14ac:dyDescent="0.35">
      <c r="A5" s="249" t="s">
        <v>3</v>
      </c>
      <c r="B5" s="249" t="s">
        <v>13</v>
      </c>
      <c r="C5" s="249" t="s">
        <v>59</v>
      </c>
      <c r="D5" s="249" t="s">
        <v>4</v>
      </c>
      <c r="E5" s="249" t="s">
        <v>5</v>
      </c>
      <c r="F5" s="249" t="s">
        <v>268</v>
      </c>
      <c r="G5" s="250" t="s">
        <v>6</v>
      </c>
      <c r="H5" s="250"/>
      <c r="I5" s="251" t="s">
        <v>9</v>
      </c>
      <c r="J5" s="2"/>
    </row>
    <row r="6" spans="1:10" ht="54" x14ac:dyDescent="0.35">
      <c r="A6" s="249"/>
      <c r="B6" s="249"/>
      <c r="C6" s="249"/>
      <c r="D6" s="249"/>
      <c r="E6" s="249"/>
      <c r="F6" s="249"/>
      <c r="G6" s="252" t="s">
        <v>58</v>
      </c>
      <c r="H6" s="253" t="s">
        <v>8</v>
      </c>
      <c r="I6" s="251"/>
      <c r="J6" s="2"/>
    </row>
    <row r="7" spans="1:10" ht="19.5" customHeight="1" x14ac:dyDescent="0.35">
      <c r="A7" s="254">
        <v>1</v>
      </c>
      <c r="B7" s="254">
        <v>2</v>
      </c>
      <c r="C7" s="254">
        <v>3</v>
      </c>
      <c r="D7" s="254">
        <v>4</v>
      </c>
      <c r="E7" s="254">
        <v>5</v>
      </c>
      <c r="F7" s="254">
        <v>6</v>
      </c>
      <c r="G7" s="254">
        <v>7</v>
      </c>
      <c r="H7" s="254">
        <v>8</v>
      </c>
      <c r="I7" s="255">
        <v>9</v>
      </c>
    </row>
    <row r="8" spans="1:10" s="24" customFormat="1" ht="17.399999999999999" x14ac:dyDescent="0.3">
      <c r="A8" s="267"/>
      <c r="B8" s="256" t="s">
        <v>10</v>
      </c>
      <c r="C8" s="256"/>
      <c r="D8" s="256"/>
      <c r="E8" s="256"/>
      <c r="F8" s="256"/>
      <c r="G8" s="257"/>
      <c r="H8" s="257"/>
      <c r="I8" s="258"/>
    </row>
    <row r="9" spans="1:10" s="24" customFormat="1" x14ac:dyDescent="0.35">
      <c r="A9" s="267" t="s">
        <v>162</v>
      </c>
      <c r="B9" s="259" t="s">
        <v>252</v>
      </c>
      <c r="C9" s="256"/>
      <c r="D9" s="256"/>
      <c r="E9" s="256"/>
      <c r="F9" s="256"/>
      <c r="G9" s="257"/>
      <c r="H9" s="257"/>
      <c r="I9" s="258"/>
    </row>
    <row r="10" spans="1:10" s="10" customFormat="1" ht="36" x14ac:dyDescent="0.3">
      <c r="A10" s="268"/>
      <c r="B10" s="260" t="s">
        <v>262</v>
      </c>
      <c r="C10" s="261">
        <v>1</v>
      </c>
      <c r="D10" s="261">
        <v>1</v>
      </c>
      <c r="E10" s="261">
        <v>22</v>
      </c>
      <c r="F10" s="261">
        <v>2027</v>
      </c>
      <c r="G10" s="262">
        <f>+F10*E10*D10*C10*30</f>
        <v>1337820</v>
      </c>
      <c r="H10" s="262">
        <f>+G10*12</f>
        <v>16053840</v>
      </c>
      <c r="I10" s="263" t="s">
        <v>54</v>
      </c>
    </row>
    <row r="11" spans="1:10" s="24" customFormat="1" ht="17.399999999999999" hidden="1" x14ac:dyDescent="0.3">
      <c r="A11" s="269"/>
      <c r="B11" s="256"/>
      <c r="C11" s="264"/>
      <c r="D11" s="264"/>
      <c r="E11" s="264"/>
      <c r="F11" s="264"/>
      <c r="G11" s="265"/>
      <c r="H11" s="265"/>
      <c r="I11" s="215"/>
    </row>
    <row r="12" spans="1:10" s="24" customFormat="1" x14ac:dyDescent="0.35">
      <c r="A12" s="269" t="s">
        <v>134</v>
      </c>
      <c r="B12" s="259" t="s">
        <v>253</v>
      </c>
      <c r="C12" s="264"/>
      <c r="D12" s="264"/>
      <c r="E12" s="264"/>
      <c r="F12" s="264"/>
      <c r="G12" s="265"/>
      <c r="H12" s="265"/>
      <c r="I12" s="215"/>
    </row>
    <row r="13" spans="1:10" s="24" customFormat="1" ht="36" x14ac:dyDescent="0.3">
      <c r="A13" s="269"/>
      <c r="B13" s="260" t="s">
        <v>263</v>
      </c>
      <c r="C13" s="261">
        <v>1</v>
      </c>
      <c r="D13" s="261">
        <v>4</v>
      </c>
      <c r="E13" s="261">
        <v>22</v>
      </c>
      <c r="F13" s="261">
        <v>2027</v>
      </c>
      <c r="G13" s="262">
        <f>+F13*E13*D13*C13*30</f>
        <v>5351280</v>
      </c>
      <c r="H13" s="262">
        <f>+G13*12</f>
        <v>64215360</v>
      </c>
      <c r="I13" s="187" t="s">
        <v>54</v>
      </c>
    </row>
    <row r="14" spans="1:10" x14ac:dyDescent="0.35">
      <c r="A14" s="270"/>
      <c r="B14" s="79"/>
      <c r="C14" s="79"/>
      <c r="D14" s="79"/>
      <c r="E14" s="79"/>
      <c r="F14" s="79"/>
      <c r="G14" s="79"/>
      <c r="H14" s="79"/>
    </row>
    <row r="15" spans="1:10" x14ac:dyDescent="0.35">
      <c r="A15" s="270"/>
      <c r="B15" s="79" t="s">
        <v>55</v>
      </c>
      <c r="C15" s="79"/>
      <c r="D15" s="79"/>
      <c r="E15" s="79"/>
      <c r="F15" s="79"/>
      <c r="G15" s="79"/>
      <c r="H15" s="79"/>
    </row>
    <row r="16" spans="1:10" x14ac:dyDescent="0.35">
      <c r="A16" s="270"/>
      <c r="B16" s="79" t="s">
        <v>226</v>
      </c>
      <c r="C16" s="79"/>
      <c r="D16" s="79"/>
      <c r="E16" s="79"/>
      <c r="F16" s="79"/>
      <c r="G16" s="79"/>
      <c r="H16" s="79"/>
    </row>
    <row r="17" spans="1:8" x14ac:dyDescent="0.35">
      <c r="A17" s="270"/>
      <c r="B17" s="79"/>
      <c r="C17" s="79"/>
      <c r="D17" s="79"/>
      <c r="E17" s="79"/>
      <c r="F17" s="79"/>
      <c r="G17" s="79"/>
      <c r="H17" s="79"/>
    </row>
    <row r="18" spans="1:8" x14ac:dyDescent="0.35">
      <c r="A18" s="270"/>
      <c r="B18" s="79"/>
      <c r="C18" s="79"/>
      <c r="D18" s="79"/>
      <c r="E18" s="79"/>
      <c r="F18" s="79"/>
      <c r="G18" s="79"/>
      <c r="H18" s="79"/>
    </row>
    <row r="19" spans="1:8" x14ac:dyDescent="0.35">
      <c r="A19" s="270"/>
      <c r="B19" s="79"/>
      <c r="C19" s="79"/>
      <c r="D19" s="79"/>
      <c r="E19" s="79"/>
      <c r="F19" s="79"/>
      <c r="G19" s="79"/>
      <c r="H19" s="79"/>
    </row>
    <row r="20" spans="1:8" x14ac:dyDescent="0.35">
      <c r="A20" s="270"/>
      <c r="B20" s="79"/>
      <c r="C20" s="79"/>
      <c r="D20" s="79"/>
      <c r="E20" s="79"/>
      <c r="F20" s="79"/>
      <c r="G20" s="79"/>
      <c r="H20" s="79"/>
    </row>
    <row r="21" spans="1:8" x14ac:dyDescent="0.35">
      <c r="A21" s="270"/>
      <c r="B21" s="79"/>
      <c r="C21" s="79"/>
      <c r="D21" s="79"/>
      <c r="E21" s="79"/>
      <c r="F21" s="79"/>
      <c r="G21" s="79"/>
      <c r="H21" s="79"/>
    </row>
    <row r="22" spans="1:8" x14ac:dyDescent="0.35">
      <c r="A22" s="270"/>
      <c r="B22" s="79"/>
      <c r="C22" s="79"/>
      <c r="D22" s="79"/>
      <c r="E22" s="79"/>
      <c r="F22" s="79"/>
      <c r="G22" s="79"/>
      <c r="H22" s="79"/>
    </row>
    <row r="23" spans="1:8" x14ac:dyDescent="0.35">
      <c r="A23" s="270"/>
      <c r="B23" s="79"/>
      <c r="C23" s="79"/>
      <c r="D23" s="79"/>
      <c r="E23" s="79"/>
      <c r="F23" s="79"/>
      <c r="G23" s="79"/>
      <c r="H23" s="79"/>
    </row>
  </sheetData>
  <mergeCells count="10">
    <mergeCell ref="A1:I1"/>
    <mergeCell ref="A2:I2"/>
    <mergeCell ref="A5:A6"/>
    <mergeCell ref="B5:B6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topLeftCell="A10" zoomScale="142" zoomScaleNormal="142" workbookViewId="0">
      <selection activeCell="N10" sqref="N10"/>
    </sheetView>
  </sheetViews>
  <sheetFormatPr defaultColWidth="9.109375" defaultRowHeight="18" x14ac:dyDescent="0.35"/>
  <cols>
    <col min="1" max="1" width="3.88671875" style="1" customWidth="1"/>
    <col min="2" max="2" width="34.5546875" style="1" customWidth="1"/>
    <col min="3" max="3" width="9.109375" style="1" customWidth="1"/>
    <col min="4" max="4" width="7.109375" style="1" customWidth="1"/>
    <col min="5" max="6" width="6.5546875" style="1" customWidth="1"/>
    <col min="7" max="7" width="8" style="1" customWidth="1"/>
    <col min="8" max="8" width="7.44140625" style="1" customWidth="1"/>
    <col min="9" max="9" width="8.6640625" style="1" customWidth="1"/>
    <col min="10" max="10" width="11.77734375" style="1" customWidth="1"/>
    <col min="11" max="11" width="11.88671875" style="1" customWidth="1"/>
    <col min="12" max="16384" width="9.109375" style="1"/>
  </cols>
  <sheetData>
    <row r="1" spans="1:13" x14ac:dyDescent="0.35">
      <c r="A1" s="159" t="s">
        <v>11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" x14ac:dyDescent="0.35">
      <c r="A2" s="159" t="s">
        <v>12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4" spans="1:13" x14ac:dyDescent="0.35">
      <c r="J4" s="4" t="s">
        <v>2</v>
      </c>
      <c r="K4" s="4"/>
    </row>
    <row r="5" spans="1:13" x14ac:dyDescent="0.35">
      <c r="A5" s="232" t="s">
        <v>3</v>
      </c>
      <c r="B5" s="232" t="s">
        <v>13</v>
      </c>
      <c r="C5" s="232" t="s">
        <v>14</v>
      </c>
      <c r="D5" s="232" t="s">
        <v>15</v>
      </c>
      <c r="E5" s="232" t="s">
        <v>19</v>
      </c>
      <c r="F5" s="232" t="s">
        <v>16</v>
      </c>
      <c r="G5" s="232" t="s">
        <v>24</v>
      </c>
      <c r="H5" s="232" t="s">
        <v>17</v>
      </c>
      <c r="I5" s="232" t="s">
        <v>18</v>
      </c>
      <c r="J5" s="233" t="s">
        <v>6</v>
      </c>
      <c r="K5" s="233"/>
      <c r="L5" s="232" t="s">
        <v>9</v>
      </c>
      <c r="M5" s="2"/>
    </row>
    <row r="6" spans="1:13" ht="44.25" customHeight="1" x14ac:dyDescent="0.35">
      <c r="A6" s="232"/>
      <c r="B6" s="232"/>
      <c r="C6" s="232"/>
      <c r="D6" s="232"/>
      <c r="E6" s="232"/>
      <c r="F6" s="232"/>
      <c r="G6" s="232"/>
      <c r="H6" s="232"/>
      <c r="I6" s="232"/>
      <c r="J6" s="234" t="s">
        <v>7</v>
      </c>
      <c r="K6" s="234" t="s">
        <v>8</v>
      </c>
      <c r="L6" s="232"/>
      <c r="M6" s="2"/>
    </row>
    <row r="7" spans="1:13" x14ac:dyDescent="0.3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 t="s">
        <v>20</v>
      </c>
      <c r="K7" s="3" t="s">
        <v>21</v>
      </c>
      <c r="L7" s="3">
        <v>12</v>
      </c>
    </row>
    <row r="8" spans="1:13" x14ac:dyDescent="0.35">
      <c r="A8" s="235"/>
      <c r="B8" s="235" t="s">
        <v>246</v>
      </c>
      <c r="C8" s="236"/>
      <c r="D8" s="236"/>
      <c r="E8" s="236"/>
      <c r="F8" s="236"/>
      <c r="G8" s="236"/>
      <c r="H8" s="236"/>
      <c r="I8" s="236"/>
      <c r="J8" s="237"/>
      <c r="K8" s="237"/>
      <c r="L8" s="236"/>
    </row>
    <row r="9" spans="1:13" x14ac:dyDescent="0.35">
      <c r="A9" s="238" t="s">
        <v>162</v>
      </c>
      <c r="B9" s="239" t="s">
        <v>255</v>
      </c>
      <c r="C9" s="236"/>
      <c r="D9" s="236"/>
      <c r="E9" s="236"/>
      <c r="F9" s="236"/>
      <c r="G9" s="236"/>
      <c r="H9" s="236"/>
      <c r="I9" s="236"/>
      <c r="J9" s="240">
        <f>J10+J11</f>
        <v>141367.5</v>
      </c>
      <c r="K9" s="240">
        <f>K10+K11</f>
        <v>1696410</v>
      </c>
      <c r="L9" s="236"/>
    </row>
    <row r="10" spans="1:13" ht="50.4" x14ac:dyDescent="0.35">
      <c r="A10" s="236"/>
      <c r="B10" s="241" t="s">
        <v>111</v>
      </c>
      <c r="C10" s="242" t="s">
        <v>22</v>
      </c>
      <c r="D10" s="234" t="s">
        <v>23</v>
      </c>
      <c r="E10" s="243">
        <v>1</v>
      </c>
      <c r="F10" s="243">
        <v>12</v>
      </c>
      <c r="G10" s="244">
        <f>12.9/60</f>
        <v>0.215</v>
      </c>
      <c r="H10" s="243">
        <v>15</v>
      </c>
      <c r="I10" s="245">
        <f>20130/1.1</f>
        <v>18300</v>
      </c>
      <c r="J10" s="245">
        <f>+I10*H10*G10*E10</f>
        <v>59017.5</v>
      </c>
      <c r="K10" s="245">
        <f>+F10*G10*H10*I10</f>
        <v>708210</v>
      </c>
      <c r="L10" s="236"/>
    </row>
    <row r="11" spans="1:13" ht="50.4" x14ac:dyDescent="0.35">
      <c r="A11" s="236"/>
      <c r="B11" s="241" t="s">
        <v>110</v>
      </c>
      <c r="C11" s="242" t="str">
        <f>+C10</f>
        <v>Dầu diezel</v>
      </c>
      <c r="D11" s="234" t="s">
        <v>23</v>
      </c>
      <c r="E11" s="243">
        <v>0.5</v>
      </c>
      <c r="F11" s="243">
        <v>6</v>
      </c>
      <c r="G11" s="244">
        <f>18/60</f>
        <v>0.3</v>
      </c>
      <c r="H11" s="243">
        <v>30</v>
      </c>
      <c r="I11" s="245">
        <f>+I10</f>
        <v>18300</v>
      </c>
      <c r="J11" s="245">
        <f>+I11*E11*G11*H11</f>
        <v>82350</v>
      </c>
      <c r="K11" s="245">
        <f>+F11*G11*H11*I11</f>
        <v>988199.99999999988</v>
      </c>
      <c r="L11" s="236"/>
    </row>
    <row r="12" spans="1:13" hidden="1" x14ac:dyDescent="0.35">
      <c r="A12" s="236"/>
      <c r="B12" s="236"/>
      <c r="C12" s="236"/>
      <c r="D12" s="236"/>
      <c r="E12" s="236"/>
      <c r="F12" s="236"/>
      <c r="G12" s="236"/>
      <c r="H12" s="236"/>
      <c r="I12" s="237"/>
      <c r="J12" s="237"/>
      <c r="K12" s="237"/>
      <c r="L12" s="236"/>
    </row>
    <row r="13" spans="1:13" hidden="1" x14ac:dyDescent="0.35">
      <c r="A13" s="236"/>
      <c r="B13" s="236"/>
      <c r="C13" s="236"/>
      <c r="D13" s="236"/>
      <c r="E13" s="236"/>
      <c r="F13" s="236"/>
      <c r="G13" s="236"/>
      <c r="H13" s="236"/>
      <c r="I13" s="237"/>
      <c r="J13" s="237"/>
      <c r="K13" s="237"/>
      <c r="L13" s="236"/>
    </row>
    <row r="14" spans="1:13" hidden="1" x14ac:dyDescent="0.35">
      <c r="A14" s="236"/>
      <c r="B14" s="236"/>
      <c r="C14" s="236"/>
      <c r="D14" s="236"/>
      <c r="E14" s="236"/>
      <c r="F14" s="236"/>
      <c r="G14" s="236"/>
      <c r="H14" s="236"/>
      <c r="I14" s="237"/>
      <c r="J14" s="237"/>
      <c r="K14" s="237"/>
      <c r="L14" s="236"/>
    </row>
    <row r="15" spans="1:13" x14ac:dyDescent="0.35">
      <c r="A15" s="246" t="s">
        <v>134</v>
      </c>
      <c r="B15" s="239" t="s">
        <v>254</v>
      </c>
      <c r="C15" s="236"/>
      <c r="D15" s="236"/>
      <c r="E15" s="236"/>
      <c r="F15" s="236"/>
      <c r="G15" s="236"/>
      <c r="H15" s="236"/>
      <c r="I15" s="236"/>
      <c r="J15" s="240">
        <f>J16+J17</f>
        <v>201300</v>
      </c>
      <c r="K15" s="240">
        <f>K16+K17</f>
        <v>2415600</v>
      </c>
      <c r="L15" s="236"/>
    </row>
    <row r="16" spans="1:13" ht="50.4" x14ac:dyDescent="0.35">
      <c r="A16" s="236"/>
      <c r="B16" s="241" t="s">
        <v>111</v>
      </c>
      <c r="C16" s="242" t="s">
        <v>22</v>
      </c>
      <c r="D16" s="234" t="s">
        <v>23</v>
      </c>
      <c r="E16" s="243">
        <v>1</v>
      </c>
      <c r="F16" s="243">
        <v>12</v>
      </c>
      <c r="G16" s="244">
        <f>20/60</f>
        <v>0.33333333333333331</v>
      </c>
      <c r="H16" s="243">
        <v>15</v>
      </c>
      <c r="I16" s="245">
        <f>20130/1.1</f>
        <v>18300</v>
      </c>
      <c r="J16" s="245">
        <f>+I16*H16*G16*E16</f>
        <v>91500</v>
      </c>
      <c r="K16" s="245">
        <f>+F16*G16*H16*I16</f>
        <v>1098000</v>
      </c>
      <c r="L16" s="236"/>
    </row>
    <row r="17" spans="1:12" ht="50.4" x14ac:dyDescent="0.35">
      <c r="A17" s="236"/>
      <c r="B17" s="241" t="s">
        <v>110</v>
      </c>
      <c r="C17" s="242" t="str">
        <f>+C16</f>
        <v>Dầu diezel</v>
      </c>
      <c r="D17" s="234" t="s">
        <v>23</v>
      </c>
      <c r="E17" s="243">
        <v>0.5</v>
      </c>
      <c r="F17" s="243">
        <v>6</v>
      </c>
      <c r="G17" s="244">
        <f>24/60</f>
        <v>0.4</v>
      </c>
      <c r="H17" s="243">
        <v>30</v>
      </c>
      <c r="I17" s="245">
        <f>+I16</f>
        <v>18300</v>
      </c>
      <c r="J17" s="245">
        <f>+I17*E17*G17*H17</f>
        <v>109800</v>
      </c>
      <c r="K17" s="245">
        <f>+F17*G17*H17*I17</f>
        <v>1317600.0000000002</v>
      </c>
      <c r="L17" s="236"/>
    </row>
  </sheetData>
  <mergeCells count="13">
    <mergeCell ref="G5:G6"/>
    <mergeCell ref="H5:H6"/>
    <mergeCell ref="E5:E6"/>
    <mergeCell ref="A1:L1"/>
    <mergeCell ref="A2:L2"/>
    <mergeCell ref="A5:A6"/>
    <mergeCell ref="B5:B6"/>
    <mergeCell ref="C5:C6"/>
    <mergeCell ref="D5:D6"/>
    <mergeCell ref="F5:F6"/>
    <mergeCell ref="I5:I6"/>
    <mergeCell ref="J5:K5"/>
    <mergeCell ref="L5:L6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zoomScale="115" zoomScaleNormal="115" workbookViewId="0">
      <selection activeCell="P17" sqref="P17"/>
    </sheetView>
  </sheetViews>
  <sheetFormatPr defaultColWidth="9.109375" defaultRowHeight="18" x14ac:dyDescent="0.35"/>
  <cols>
    <col min="1" max="1" width="5.109375" style="1" bestFit="1" customWidth="1"/>
    <col min="2" max="2" width="30.6640625" style="1" customWidth="1"/>
    <col min="3" max="3" width="6.5546875" style="175" customWidth="1"/>
    <col min="4" max="4" width="6.5546875" style="1" hidden="1" customWidth="1"/>
    <col min="5" max="5" width="8.88671875" style="1" customWidth="1"/>
    <col min="6" max="6" width="5.6640625" style="175" customWidth="1"/>
    <col min="7" max="7" width="9" style="1" customWidth="1"/>
    <col min="8" max="8" width="12.6640625" style="1" customWidth="1"/>
    <col min="9" max="10" width="9.77734375" style="1" customWidth="1"/>
    <col min="11" max="11" width="11.109375" style="1" customWidth="1"/>
    <col min="12" max="12" width="11.5546875" style="1" customWidth="1"/>
    <col min="13" max="13" width="9.109375" style="1" customWidth="1"/>
    <col min="14" max="14" width="11" style="1" bestFit="1" customWidth="1"/>
    <col min="15" max="16384" width="9.109375" style="1"/>
  </cols>
  <sheetData>
    <row r="1" spans="1:13" x14ac:dyDescent="0.35">
      <c r="A1" s="160" t="s">
        <v>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 x14ac:dyDescent="0.35">
      <c r="A2" s="160" t="s">
        <v>26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 ht="18.75" customHeight="1" x14ac:dyDescent="0.35">
      <c r="A3" s="161" t="s">
        <v>3</v>
      </c>
      <c r="B3" s="161" t="s">
        <v>28</v>
      </c>
      <c r="C3" s="161" t="s">
        <v>29</v>
      </c>
      <c r="D3" s="161"/>
      <c r="E3" s="161" t="s">
        <v>30</v>
      </c>
      <c r="F3" s="161" t="s">
        <v>27</v>
      </c>
      <c r="G3" s="161" t="s">
        <v>31</v>
      </c>
      <c r="H3" s="161" t="s">
        <v>266</v>
      </c>
      <c r="I3" s="161" t="s">
        <v>217</v>
      </c>
      <c r="J3" s="161" t="s">
        <v>218</v>
      </c>
      <c r="K3" s="161" t="s">
        <v>219</v>
      </c>
      <c r="L3" s="161" t="s">
        <v>267</v>
      </c>
      <c r="M3" s="2"/>
    </row>
    <row r="4" spans="1:13" ht="20.399999999999999" customHeight="1" x14ac:dyDescent="0.3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2"/>
    </row>
    <row r="5" spans="1:13" x14ac:dyDescent="0.3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 t="s">
        <v>57</v>
      </c>
      <c r="I5" s="62" t="s">
        <v>220</v>
      </c>
      <c r="J5" s="62" t="s">
        <v>221</v>
      </c>
      <c r="K5" s="63" t="s">
        <v>222</v>
      </c>
      <c r="L5" s="5" t="s">
        <v>223</v>
      </c>
    </row>
    <row r="6" spans="1:13" x14ac:dyDescent="0.35">
      <c r="A6" s="77"/>
      <c r="B6" s="77" t="s">
        <v>192</v>
      </c>
      <c r="C6" s="150"/>
      <c r="D6" s="9"/>
      <c r="E6" s="8"/>
      <c r="F6" s="150"/>
      <c r="G6" s="8"/>
      <c r="H6" s="9"/>
      <c r="I6" s="9"/>
      <c r="J6" s="9"/>
      <c r="K6" s="9"/>
      <c r="L6" s="9"/>
    </row>
    <row r="7" spans="1:13" x14ac:dyDescent="0.35">
      <c r="A7" s="77" t="s">
        <v>162</v>
      </c>
      <c r="B7" s="77" t="s">
        <v>256</v>
      </c>
      <c r="C7" s="150"/>
      <c r="D7" s="9"/>
      <c r="E7" s="8"/>
      <c r="F7" s="150"/>
      <c r="G7" s="8"/>
      <c r="H7" s="69">
        <f>+SUM(H8:H12)</f>
        <v>51199200</v>
      </c>
      <c r="I7" s="69"/>
      <c r="J7" s="69"/>
      <c r="K7" s="31">
        <f>+SUM(K8:K12)</f>
        <v>68606928</v>
      </c>
      <c r="L7" s="29">
        <f>+SUM(L8:L12)</f>
        <v>823283136</v>
      </c>
    </row>
    <row r="8" spans="1:13" x14ac:dyDescent="0.35">
      <c r="A8" s="70">
        <v>1</v>
      </c>
      <c r="B8" s="71" t="s">
        <v>231</v>
      </c>
      <c r="C8" s="70">
        <v>1</v>
      </c>
      <c r="D8" s="72">
        <v>1</v>
      </c>
      <c r="E8" s="73">
        <v>4160000</v>
      </c>
      <c r="F8" s="230">
        <v>1.52</v>
      </c>
      <c r="G8" s="73">
        <v>2340000</v>
      </c>
      <c r="H8" s="73">
        <f>(+D8*E8*F8+G8)*C8</f>
        <v>8663200</v>
      </c>
      <c r="I8" s="73">
        <f t="shared" ref="I8:I12" si="0">+H8*(10.5%+21.5%)</f>
        <v>2772224</v>
      </c>
      <c r="J8" s="73">
        <f>+H8*2%</f>
        <v>173264</v>
      </c>
      <c r="K8" s="73">
        <f>+J8+I8+H8</f>
        <v>11608688</v>
      </c>
      <c r="L8" s="73">
        <f>+K8*12</f>
        <v>139304256</v>
      </c>
    </row>
    <row r="9" spans="1:13" x14ac:dyDescent="0.35">
      <c r="A9" s="75">
        <v>2</v>
      </c>
      <c r="B9" s="9" t="s">
        <v>126</v>
      </c>
      <c r="C9" s="150">
        <v>1</v>
      </c>
      <c r="D9" s="9">
        <v>1</v>
      </c>
      <c r="E9" s="8">
        <f>+E8</f>
        <v>4160000</v>
      </c>
      <c r="F9" s="150">
        <v>1</v>
      </c>
      <c r="G9" s="8">
        <f>2340000*0.6</f>
        <v>1404000</v>
      </c>
      <c r="H9" s="8">
        <f>(+D9*E9*F9+G9)*C9</f>
        <v>5564000</v>
      </c>
      <c r="I9" s="8">
        <f t="shared" si="0"/>
        <v>1780480</v>
      </c>
      <c r="J9" s="8">
        <f>+H9*2%</f>
        <v>111280</v>
      </c>
      <c r="K9" s="8">
        <f>+J9+I9+H9</f>
        <v>7455760</v>
      </c>
      <c r="L9" s="8">
        <f>+K9*12</f>
        <v>89469120</v>
      </c>
    </row>
    <row r="10" spans="1:13" x14ac:dyDescent="0.35">
      <c r="A10" s="75">
        <v>3</v>
      </c>
      <c r="B10" s="9" t="s">
        <v>127</v>
      </c>
      <c r="C10" s="150">
        <v>1</v>
      </c>
      <c r="D10" s="9">
        <v>1</v>
      </c>
      <c r="E10" s="8">
        <f>+E9</f>
        <v>4160000</v>
      </c>
      <c r="F10" s="150">
        <v>1.2</v>
      </c>
      <c r="G10" s="8">
        <f>+G9</f>
        <v>1404000</v>
      </c>
      <c r="H10" s="8">
        <f>(+D10*E10*F10+G10)*C10</f>
        <v>6396000</v>
      </c>
      <c r="I10" s="8">
        <f t="shared" si="0"/>
        <v>2046720</v>
      </c>
      <c r="J10" s="8">
        <f t="shared" ref="J10:J12" si="1">+H10*2%</f>
        <v>127920</v>
      </c>
      <c r="K10" s="8">
        <f t="shared" ref="K10:K12" si="2">+J10+I10+H10</f>
        <v>8570640</v>
      </c>
      <c r="L10" s="8">
        <f t="shared" ref="L10:L12" si="3">+K10*12</f>
        <v>102847680</v>
      </c>
    </row>
    <row r="11" spans="1:13" x14ac:dyDescent="0.35">
      <c r="A11" s="75">
        <v>4</v>
      </c>
      <c r="B11" s="54" t="s">
        <v>230</v>
      </c>
      <c r="C11" s="150">
        <v>4</v>
      </c>
      <c r="D11" s="9">
        <v>1</v>
      </c>
      <c r="E11" s="8">
        <v>4160000</v>
      </c>
      <c r="F11" s="231">
        <v>1</v>
      </c>
      <c r="G11" s="19">
        <f>2340000*0.4</f>
        <v>936000</v>
      </c>
      <c r="H11" s="8">
        <f>(+D11*E11*F11+G11)*C11</f>
        <v>20384000</v>
      </c>
      <c r="I11" s="8">
        <f t="shared" si="0"/>
        <v>6522880</v>
      </c>
      <c r="J11" s="8">
        <f t="shared" si="1"/>
        <v>407680</v>
      </c>
      <c r="K11" s="8">
        <f t="shared" si="2"/>
        <v>27314560</v>
      </c>
      <c r="L11" s="8">
        <f t="shared" si="3"/>
        <v>327774720</v>
      </c>
    </row>
    <row r="12" spans="1:13" x14ac:dyDescent="0.35">
      <c r="A12" s="75">
        <v>5</v>
      </c>
      <c r="B12" s="54" t="s">
        <v>56</v>
      </c>
      <c r="C12" s="150">
        <v>2</v>
      </c>
      <c r="D12" s="9">
        <v>1</v>
      </c>
      <c r="E12" s="8">
        <v>4160000</v>
      </c>
      <c r="F12" s="231">
        <v>1</v>
      </c>
      <c r="G12" s="19">
        <f>2340000*0.4</f>
        <v>936000</v>
      </c>
      <c r="H12" s="8">
        <f>(+D12*E12*F12+G12)*C12</f>
        <v>10192000</v>
      </c>
      <c r="I12" s="8">
        <f t="shared" si="0"/>
        <v>3261440</v>
      </c>
      <c r="J12" s="8">
        <f t="shared" si="1"/>
        <v>203840</v>
      </c>
      <c r="K12" s="8">
        <f t="shared" si="2"/>
        <v>13657280</v>
      </c>
      <c r="L12" s="8">
        <f t="shared" si="3"/>
        <v>163887360</v>
      </c>
    </row>
    <row r="13" spans="1:13" x14ac:dyDescent="0.35">
      <c r="A13" s="77" t="s">
        <v>134</v>
      </c>
      <c r="B13" s="55" t="s">
        <v>252</v>
      </c>
      <c r="C13" s="150"/>
      <c r="D13" s="9"/>
      <c r="E13" s="8"/>
      <c r="F13" s="150"/>
      <c r="G13" s="8"/>
      <c r="H13" s="69">
        <f>+SUM(H14:H16)</f>
        <v>19323200</v>
      </c>
      <c r="I13" s="69"/>
      <c r="J13" s="69"/>
      <c r="K13" s="31">
        <f>+SUM(K14:K16)</f>
        <v>25893088</v>
      </c>
      <c r="L13" s="29">
        <f>+SUM(L14:L16)</f>
        <v>310717056</v>
      </c>
    </row>
    <row r="14" spans="1:13" x14ac:dyDescent="0.35">
      <c r="A14" s="70">
        <v>1</v>
      </c>
      <c r="B14" s="71" t="s">
        <v>242</v>
      </c>
      <c r="C14" s="70">
        <v>1</v>
      </c>
      <c r="D14" s="72">
        <v>1</v>
      </c>
      <c r="E14" s="73">
        <v>4160000</v>
      </c>
      <c r="F14" s="230">
        <v>1.52</v>
      </c>
      <c r="G14" s="73">
        <v>2340000</v>
      </c>
      <c r="H14" s="73">
        <f>(+D14*E14*F14+G14)*C14</f>
        <v>8663200</v>
      </c>
      <c r="I14" s="73">
        <f t="shared" ref="I14:I16" si="4">+H14*(10.5%+21.5%)</f>
        <v>2772224</v>
      </c>
      <c r="J14" s="73">
        <f>+H14*2%</f>
        <v>173264</v>
      </c>
      <c r="K14" s="73">
        <f>+J14+I14+H14</f>
        <v>11608688</v>
      </c>
      <c r="L14" s="73">
        <f>+K14*12</f>
        <v>139304256</v>
      </c>
    </row>
    <row r="15" spans="1:13" x14ac:dyDescent="0.35">
      <c r="A15" s="75">
        <v>2</v>
      </c>
      <c r="B15" s="9" t="s">
        <v>243</v>
      </c>
      <c r="C15" s="150">
        <v>1</v>
      </c>
      <c r="D15" s="9">
        <v>1</v>
      </c>
      <c r="E15" s="8">
        <f>+E14</f>
        <v>4160000</v>
      </c>
      <c r="F15" s="150">
        <v>1</v>
      </c>
      <c r="G15" s="8">
        <f>2340000*0.6</f>
        <v>1404000</v>
      </c>
      <c r="H15" s="8">
        <f>(+D15*E15*F15+G15)*C15</f>
        <v>5564000</v>
      </c>
      <c r="I15" s="8">
        <f t="shared" si="4"/>
        <v>1780480</v>
      </c>
      <c r="J15" s="8">
        <f>+H15*2%</f>
        <v>111280</v>
      </c>
      <c r="K15" s="8">
        <f>+J15+I15+H15</f>
        <v>7455760</v>
      </c>
      <c r="L15" s="8">
        <f>+K15*12</f>
        <v>89469120</v>
      </c>
    </row>
    <row r="16" spans="1:13" x14ac:dyDescent="0.35">
      <c r="A16" s="75">
        <v>3</v>
      </c>
      <c r="B16" s="54" t="s">
        <v>244</v>
      </c>
      <c r="C16" s="150">
        <v>1</v>
      </c>
      <c r="D16" s="9">
        <v>1</v>
      </c>
      <c r="E16" s="8">
        <v>4160000</v>
      </c>
      <c r="F16" s="231">
        <v>1</v>
      </c>
      <c r="G16" s="19">
        <f>2340000*0.4</f>
        <v>936000</v>
      </c>
      <c r="H16" s="8">
        <f>(+D16*E16*F16+G16)*C16</f>
        <v>5096000</v>
      </c>
      <c r="I16" s="8">
        <f t="shared" si="4"/>
        <v>1630720</v>
      </c>
      <c r="J16" s="8">
        <f t="shared" ref="J16" si="5">+H16*2%</f>
        <v>101920</v>
      </c>
      <c r="K16" s="8">
        <f t="shared" ref="K16" si="6">+J16+I16+H16</f>
        <v>6828640</v>
      </c>
      <c r="L16" s="8">
        <f t="shared" ref="L16" si="7">+K16*12</f>
        <v>81943680</v>
      </c>
    </row>
    <row r="18" spans="2:2" x14ac:dyDescent="0.35">
      <c r="B18" s="1" t="s">
        <v>265</v>
      </c>
    </row>
  </sheetData>
  <mergeCells count="14">
    <mergeCell ref="G3:G4"/>
    <mergeCell ref="L3:L4"/>
    <mergeCell ref="A1:L1"/>
    <mergeCell ref="A2:L2"/>
    <mergeCell ref="A3:A4"/>
    <mergeCell ref="B3:B4"/>
    <mergeCell ref="C3:C4"/>
    <mergeCell ref="F3:F4"/>
    <mergeCell ref="E3:E4"/>
    <mergeCell ref="D3:D4"/>
    <mergeCell ref="H3:H4"/>
    <mergeCell ref="I3:I4"/>
    <mergeCell ref="J3:J4"/>
    <mergeCell ref="K3:K4"/>
  </mergeCells>
  <pageMargins left="1.36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topLeftCell="A22" zoomScale="142" zoomScaleNormal="142" workbookViewId="0">
      <selection activeCell="K22" sqref="K22"/>
    </sheetView>
  </sheetViews>
  <sheetFormatPr defaultColWidth="9.109375" defaultRowHeight="18" x14ac:dyDescent="0.35"/>
  <cols>
    <col min="1" max="1" width="5.109375" style="1" bestFit="1" customWidth="1"/>
    <col min="2" max="2" width="32.44140625" style="1" customWidth="1"/>
    <col min="3" max="3" width="8.5546875" style="1" customWidth="1"/>
    <col min="4" max="4" width="9.109375" style="1" customWidth="1"/>
    <col min="5" max="5" width="10.44140625" style="1" customWidth="1"/>
    <col min="6" max="6" width="13.88671875" style="1" customWidth="1"/>
    <col min="7" max="7" width="11.44140625" style="1" customWidth="1"/>
    <col min="8" max="8" width="11.33203125" style="1" customWidth="1"/>
    <col min="9" max="9" width="12.6640625" style="1" customWidth="1"/>
    <col min="10" max="16384" width="9.109375" style="1"/>
  </cols>
  <sheetData>
    <row r="1" spans="1:12" x14ac:dyDescent="0.35">
      <c r="A1" s="160" t="s">
        <v>32</v>
      </c>
      <c r="B1" s="160"/>
      <c r="C1" s="160"/>
      <c r="D1" s="160"/>
      <c r="E1" s="160"/>
      <c r="F1" s="160"/>
      <c r="G1" s="160"/>
      <c r="H1" s="160"/>
      <c r="I1" s="160"/>
    </row>
    <row r="2" spans="1:12" x14ac:dyDescent="0.35">
      <c r="A2" s="160" t="s">
        <v>195</v>
      </c>
      <c r="B2" s="160"/>
      <c r="C2" s="160"/>
      <c r="D2" s="160"/>
      <c r="E2" s="160"/>
      <c r="F2" s="160"/>
      <c r="G2" s="160"/>
      <c r="H2" s="160"/>
      <c r="I2" s="160"/>
    </row>
    <row r="3" spans="1:12" x14ac:dyDescent="0.35">
      <c r="B3" s="1" t="s">
        <v>252</v>
      </c>
      <c r="G3" s="6"/>
    </row>
    <row r="4" spans="1:12" s="24" customFormat="1" ht="18.75" customHeight="1" x14ac:dyDescent="0.3">
      <c r="A4" s="161" t="s">
        <v>3</v>
      </c>
      <c r="B4" s="161" t="s">
        <v>28</v>
      </c>
      <c r="C4" s="161" t="s">
        <v>29</v>
      </c>
      <c r="D4" s="161" t="s">
        <v>35</v>
      </c>
      <c r="E4" s="161" t="s">
        <v>177</v>
      </c>
      <c r="F4" s="161" t="s">
        <v>216</v>
      </c>
      <c r="G4" s="162" t="s">
        <v>36</v>
      </c>
      <c r="H4" s="162"/>
      <c r="I4" s="161" t="s">
        <v>9</v>
      </c>
    </row>
    <row r="5" spans="1:12" s="24" customFormat="1" ht="17.399999999999999" x14ac:dyDescent="0.3">
      <c r="A5" s="161"/>
      <c r="B5" s="161"/>
      <c r="C5" s="161"/>
      <c r="D5" s="161"/>
      <c r="E5" s="161"/>
      <c r="F5" s="161"/>
      <c r="G5" s="53" t="s">
        <v>7</v>
      </c>
      <c r="H5" s="53" t="s">
        <v>8</v>
      </c>
      <c r="I5" s="161"/>
    </row>
    <row r="6" spans="1:12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7"/>
    </row>
    <row r="7" spans="1:12" x14ac:dyDescent="0.35">
      <c r="A7" s="42"/>
      <c r="B7" s="43" t="s">
        <v>114</v>
      </c>
      <c r="C7" s="42"/>
      <c r="D7" s="42"/>
      <c r="E7" s="42"/>
      <c r="F7" s="42"/>
      <c r="G7" s="56">
        <f>+G8+G9+G13+G14+G16</f>
        <v>1332468.72</v>
      </c>
      <c r="H7" s="56">
        <f>+H8+H9+H13+H14+H15+H16</f>
        <v>16033407.84</v>
      </c>
      <c r="I7" s="7"/>
    </row>
    <row r="8" spans="1:12" ht="26.4" x14ac:dyDescent="0.35">
      <c r="A8" s="32">
        <v>1</v>
      </c>
      <c r="B8" s="35" t="s">
        <v>193</v>
      </c>
      <c r="C8" s="74">
        <v>12</v>
      </c>
      <c r="D8" s="74">
        <v>2.4E-2</v>
      </c>
      <c r="E8" s="74">
        <f>12*30</f>
        <v>360</v>
      </c>
      <c r="F8" s="74">
        <f>+[1]PL1!F9</f>
        <v>2027</v>
      </c>
      <c r="G8" s="19">
        <f>+F8*E8*D8*C8</f>
        <v>210159.35999999999</v>
      </c>
      <c r="H8" s="19">
        <f>+G8*12</f>
        <v>2521912.3199999998</v>
      </c>
      <c r="I8" s="59" t="s">
        <v>212</v>
      </c>
    </row>
    <row r="9" spans="1:12" x14ac:dyDescent="0.35">
      <c r="A9" s="32">
        <v>2</v>
      </c>
      <c r="B9" s="35" t="s">
        <v>37</v>
      </c>
      <c r="C9" s="45"/>
      <c r="D9" s="45"/>
      <c r="E9" s="45"/>
      <c r="F9" s="45"/>
      <c r="G9" s="58">
        <f>+G10+G11+G12</f>
        <v>875664</v>
      </c>
      <c r="H9" s="58">
        <f t="shared" ref="H9:H16" si="0">+G9*12</f>
        <v>10507968</v>
      </c>
      <c r="I9" s="7"/>
    </row>
    <row r="10" spans="1:12" s="25" customFormat="1" x14ac:dyDescent="0.35">
      <c r="A10" s="41" t="s">
        <v>182</v>
      </c>
      <c r="B10" s="40" t="s">
        <v>60</v>
      </c>
      <c r="C10" s="39">
        <v>40</v>
      </c>
      <c r="D10" s="46">
        <v>8.9999999999999993E-3</v>
      </c>
      <c r="E10" s="46">
        <f>6*30</f>
        <v>180</v>
      </c>
      <c r="F10" s="46">
        <f>+'PL1'!F10</f>
        <v>2027</v>
      </c>
      <c r="G10" s="47">
        <f>+F10*E10*D10*C10</f>
        <v>131349.59999999998</v>
      </c>
      <c r="H10" s="47">
        <f t="shared" si="0"/>
        <v>1576195.1999999997</v>
      </c>
      <c r="I10" s="57" t="s">
        <v>112</v>
      </c>
    </row>
    <row r="11" spans="1:12" s="25" customFormat="1" ht="26.4" x14ac:dyDescent="0.35">
      <c r="A11" s="41" t="s">
        <v>183</v>
      </c>
      <c r="B11" s="40" t="s">
        <v>178</v>
      </c>
      <c r="C11" s="39">
        <v>10</v>
      </c>
      <c r="D11" s="46">
        <v>0.15</v>
      </c>
      <c r="E11" s="46">
        <f>+E10</f>
        <v>180</v>
      </c>
      <c r="F11" s="46">
        <f>+F10</f>
        <v>2027</v>
      </c>
      <c r="G11" s="47">
        <f t="shared" ref="G11:G16" si="1">+F11*E11*D11*C11</f>
        <v>547290</v>
      </c>
      <c r="H11" s="47">
        <f t="shared" si="0"/>
        <v>6567480</v>
      </c>
      <c r="I11" s="59" t="s">
        <v>209</v>
      </c>
    </row>
    <row r="12" spans="1:12" s="25" customFormat="1" ht="26.4" x14ac:dyDescent="0.35">
      <c r="A12" s="41" t="s">
        <v>194</v>
      </c>
      <c r="B12" s="40" t="s">
        <v>61</v>
      </c>
      <c r="C12" s="39">
        <v>6</v>
      </c>
      <c r="D12" s="46">
        <f>45/1000</f>
        <v>4.4999999999999998E-2</v>
      </c>
      <c r="E12" s="46">
        <v>360</v>
      </c>
      <c r="F12" s="64">
        <f>F8</f>
        <v>2027</v>
      </c>
      <c r="G12" s="47">
        <f>+F12*E12*D12*C12</f>
        <v>197024.40000000002</v>
      </c>
      <c r="H12" s="47">
        <f t="shared" si="0"/>
        <v>2364292.8000000003</v>
      </c>
      <c r="I12" s="59" t="s">
        <v>212</v>
      </c>
      <c r="K12" s="61" t="s">
        <v>227</v>
      </c>
    </row>
    <row r="13" spans="1:12" ht="26.4" x14ac:dyDescent="0.35">
      <c r="A13" s="32">
        <v>3</v>
      </c>
      <c r="B13" s="37" t="s">
        <v>38</v>
      </c>
      <c r="C13" s="35">
        <v>12</v>
      </c>
      <c r="D13" s="38">
        <v>1.7999999999999999E-2</v>
      </c>
      <c r="E13" s="38">
        <v>360</v>
      </c>
      <c r="F13" s="38">
        <f>+F11</f>
        <v>2027</v>
      </c>
      <c r="G13" s="44">
        <f t="shared" si="1"/>
        <v>157619.51999999999</v>
      </c>
      <c r="H13" s="44">
        <f t="shared" si="0"/>
        <v>1891434.2399999998</v>
      </c>
      <c r="I13" s="59" t="s">
        <v>212</v>
      </c>
      <c r="K13" s="1">
        <v>2870</v>
      </c>
      <c r="L13" s="1">
        <f>SUM(K13:K16)/3</f>
        <v>3184.3333333333335</v>
      </c>
    </row>
    <row r="14" spans="1:12" x14ac:dyDescent="0.35">
      <c r="A14" s="32">
        <v>4</v>
      </c>
      <c r="B14" s="35" t="s">
        <v>39</v>
      </c>
      <c r="C14" s="35">
        <v>4</v>
      </c>
      <c r="D14" s="44">
        <f>+D11</f>
        <v>0.15</v>
      </c>
      <c r="E14" s="35">
        <f>1*30</f>
        <v>30</v>
      </c>
      <c r="F14" s="38">
        <f>+F13</f>
        <v>2027</v>
      </c>
      <c r="G14" s="44">
        <f t="shared" si="1"/>
        <v>36486</v>
      </c>
      <c r="H14" s="44">
        <f t="shared" si="0"/>
        <v>437832</v>
      </c>
      <c r="I14" s="9" t="s">
        <v>113</v>
      </c>
    </row>
    <row r="15" spans="1:12" ht="26.4" x14ac:dyDescent="0.35">
      <c r="A15" s="32">
        <v>5</v>
      </c>
      <c r="B15" s="35" t="s">
        <v>179</v>
      </c>
      <c r="C15" s="35">
        <v>12</v>
      </c>
      <c r="D15" s="35">
        <v>5.0000000000000001E-3</v>
      </c>
      <c r="E15" s="35">
        <f>1*30</f>
        <v>30</v>
      </c>
      <c r="F15" s="38">
        <f>+F14</f>
        <v>2027</v>
      </c>
      <c r="G15" s="44">
        <f t="shared" si="1"/>
        <v>3648.6000000000004</v>
      </c>
      <c r="H15" s="44">
        <f t="shared" si="0"/>
        <v>43783.200000000004</v>
      </c>
      <c r="I15" s="59" t="s">
        <v>211</v>
      </c>
      <c r="K15" s="1">
        <v>1746</v>
      </c>
    </row>
    <row r="16" spans="1:12" x14ac:dyDescent="0.35">
      <c r="A16" s="34">
        <v>6</v>
      </c>
      <c r="B16" s="36" t="s">
        <v>62</v>
      </c>
      <c r="C16" s="36">
        <v>12</v>
      </c>
      <c r="D16" s="36">
        <f>3/1000</f>
        <v>3.0000000000000001E-3</v>
      </c>
      <c r="E16" s="36">
        <v>720</v>
      </c>
      <c r="F16" s="48">
        <f>+F14</f>
        <v>2027</v>
      </c>
      <c r="G16" s="49">
        <f t="shared" si="1"/>
        <v>52539.839999999997</v>
      </c>
      <c r="H16" s="49">
        <f t="shared" si="0"/>
        <v>630478.07999999996</v>
      </c>
      <c r="I16" s="59" t="s">
        <v>210</v>
      </c>
      <c r="K16" s="1">
        <v>4937</v>
      </c>
    </row>
    <row r="17" spans="1:9" x14ac:dyDescent="0.35">
      <c r="B17" s="1" t="s">
        <v>257</v>
      </c>
    </row>
    <row r="18" spans="1:9" x14ac:dyDescent="0.35">
      <c r="A18" s="161" t="s">
        <v>3</v>
      </c>
      <c r="B18" s="161" t="s">
        <v>28</v>
      </c>
      <c r="C18" s="161" t="s">
        <v>29</v>
      </c>
      <c r="D18" s="161" t="s">
        <v>35</v>
      </c>
      <c r="E18" s="161" t="s">
        <v>177</v>
      </c>
      <c r="F18" s="161" t="s">
        <v>216</v>
      </c>
      <c r="G18" s="162" t="s">
        <v>36</v>
      </c>
      <c r="H18" s="162"/>
      <c r="I18" s="161" t="s">
        <v>9</v>
      </c>
    </row>
    <row r="19" spans="1:9" x14ac:dyDescent="0.35">
      <c r="A19" s="161"/>
      <c r="B19" s="161"/>
      <c r="C19" s="161"/>
      <c r="D19" s="161"/>
      <c r="E19" s="161"/>
      <c r="F19" s="161"/>
      <c r="G19" s="53" t="s">
        <v>7</v>
      </c>
      <c r="H19" s="53" t="s">
        <v>8</v>
      </c>
      <c r="I19" s="161"/>
    </row>
    <row r="20" spans="1:9" x14ac:dyDescent="0.35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5">
        <v>8</v>
      </c>
      <c r="I20" s="7"/>
    </row>
    <row r="21" spans="1:9" x14ac:dyDescent="0.35">
      <c r="A21" s="42"/>
      <c r="B21" s="43" t="s">
        <v>114</v>
      </c>
      <c r="C21" s="42"/>
      <c r="D21" s="42"/>
      <c r="E21" s="42"/>
      <c r="F21" s="42"/>
      <c r="G21" s="56">
        <f>+G22+G23+G27+G28+G30</f>
        <v>5402846.8799999999</v>
      </c>
      <c r="H21" s="56">
        <f>+H22+H23+H27+H28+H29+H30</f>
        <v>65009295.359999999</v>
      </c>
      <c r="I21" s="7"/>
    </row>
    <row r="22" spans="1:9" ht="26.4" x14ac:dyDescent="0.35">
      <c r="A22" s="32">
        <v>1</v>
      </c>
      <c r="B22" s="35" t="s">
        <v>193</v>
      </c>
      <c r="C22" s="74">
        <v>48</v>
      </c>
      <c r="D22" s="74">
        <v>2.4E-2</v>
      </c>
      <c r="E22" s="74">
        <f>12*30</f>
        <v>360</v>
      </c>
      <c r="F22" s="74">
        <f>F8</f>
        <v>2027</v>
      </c>
      <c r="G22" s="19">
        <f>+F22*E22*D22*C22</f>
        <v>840637.43999999994</v>
      </c>
      <c r="H22" s="19">
        <f>+G22*12</f>
        <v>10087649.279999999</v>
      </c>
      <c r="I22" s="59" t="s">
        <v>212</v>
      </c>
    </row>
    <row r="23" spans="1:9" x14ac:dyDescent="0.35">
      <c r="A23" s="32">
        <v>2</v>
      </c>
      <c r="B23" s="35" t="s">
        <v>37</v>
      </c>
      <c r="C23" s="45"/>
      <c r="D23" s="45"/>
      <c r="E23" s="45"/>
      <c r="F23" s="45"/>
      <c r="G23" s="58">
        <f>+G24+G25+G26</f>
        <v>3502656</v>
      </c>
      <c r="H23" s="58">
        <f t="shared" ref="H23:H30" si="2">+G23*12</f>
        <v>42031872</v>
      </c>
      <c r="I23" s="7"/>
    </row>
    <row r="24" spans="1:9" x14ac:dyDescent="0.35">
      <c r="A24" s="41" t="s">
        <v>182</v>
      </c>
      <c r="B24" s="40" t="s">
        <v>60</v>
      </c>
      <c r="C24" s="39">
        <v>160</v>
      </c>
      <c r="D24" s="46">
        <v>8.9999999999999993E-3</v>
      </c>
      <c r="E24" s="46">
        <f>6*30</f>
        <v>180</v>
      </c>
      <c r="F24" s="46">
        <f>F22</f>
        <v>2027</v>
      </c>
      <c r="G24" s="47">
        <f>+F24*E24*D24*C24</f>
        <v>525398.39999999991</v>
      </c>
      <c r="H24" s="47">
        <f t="shared" si="2"/>
        <v>6304780.7999999989</v>
      </c>
      <c r="I24" s="57" t="s">
        <v>112</v>
      </c>
    </row>
    <row r="25" spans="1:9" ht="26.4" x14ac:dyDescent="0.35">
      <c r="A25" s="41" t="s">
        <v>183</v>
      </c>
      <c r="B25" s="40" t="s">
        <v>178</v>
      </c>
      <c r="C25" s="39">
        <v>40</v>
      </c>
      <c r="D25" s="46">
        <v>0.15</v>
      </c>
      <c r="E25" s="46">
        <f>+E24</f>
        <v>180</v>
      </c>
      <c r="F25" s="46">
        <f>F22</f>
        <v>2027</v>
      </c>
      <c r="G25" s="47">
        <f t="shared" ref="G25" si="3">+F25*E25*D25*C25</f>
        <v>2189160</v>
      </c>
      <c r="H25" s="47">
        <f t="shared" si="2"/>
        <v>26269920</v>
      </c>
      <c r="I25" s="59" t="s">
        <v>209</v>
      </c>
    </row>
    <row r="26" spans="1:9" ht="26.4" x14ac:dyDescent="0.35">
      <c r="A26" s="41" t="s">
        <v>194</v>
      </c>
      <c r="B26" s="40" t="s">
        <v>61</v>
      </c>
      <c r="C26" s="39">
        <v>24</v>
      </c>
      <c r="D26" s="46">
        <f>45/1000</f>
        <v>4.4999999999999998E-2</v>
      </c>
      <c r="E26" s="46">
        <v>360</v>
      </c>
      <c r="F26" s="64">
        <f>F22</f>
        <v>2027</v>
      </c>
      <c r="G26" s="47">
        <f>+F26*E26*D26*C26</f>
        <v>788097.60000000009</v>
      </c>
      <c r="H26" s="47">
        <f t="shared" si="2"/>
        <v>9457171.2000000011</v>
      </c>
      <c r="I26" s="59" t="s">
        <v>212</v>
      </c>
    </row>
    <row r="27" spans="1:9" ht="26.4" x14ac:dyDescent="0.35">
      <c r="A27" s="32">
        <v>3</v>
      </c>
      <c r="B27" s="37" t="s">
        <v>38</v>
      </c>
      <c r="C27" s="35">
        <v>48</v>
      </c>
      <c r="D27" s="38">
        <v>1.7999999999999999E-2</v>
      </c>
      <c r="E27" s="38">
        <v>360</v>
      </c>
      <c r="F27" s="38">
        <f>+F25</f>
        <v>2027</v>
      </c>
      <c r="G27" s="44">
        <f t="shared" ref="G27:G30" si="4">+F27*E27*D27*C27</f>
        <v>630478.07999999996</v>
      </c>
      <c r="H27" s="44">
        <f t="shared" si="2"/>
        <v>7565736.959999999</v>
      </c>
      <c r="I27" s="59" t="s">
        <v>212</v>
      </c>
    </row>
    <row r="28" spans="1:9" x14ac:dyDescent="0.35">
      <c r="A28" s="32">
        <v>4</v>
      </c>
      <c r="B28" s="35" t="s">
        <v>39</v>
      </c>
      <c r="C28" s="35">
        <v>24</v>
      </c>
      <c r="D28" s="44">
        <f>+D25</f>
        <v>0.15</v>
      </c>
      <c r="E28" s="35">
        <f>1*30</f>
        <v>30</v>
      </c>
      <c r="F28" s="38">
        <f>+F27</f>
        <v>2027</v>
      </c>
      <c r="G28" s="44">
        <f t="shared" si="4"/>
        <v>218916</v>
      </c>
      <c r="H28" s="44">
        <f t="shared" si="2"/>
        <v>2626992</v>
      </c>
      <c r="I28" s="9" t="s">
        <v>113</v>
      </c>
    </row>
    <row r="29" spans="1:9" ht="26.4" x14ac:dyDescent="0.35">
      <c r="A29" s="32">
        <v>5</v>
      </c>
      <c r="B29" s="35" t="s">
        <v>264</v>
      </c>
      <c r="C29" s="35">
        <v>48</v>
      </c>
      <c r="D29" s="35">
        <v>5.0000000000000001E-3</v>
      </c>
      <c r="E29" s="35">
        <f>1*30</f>
        <v>30</v>
      </c>
      <c r="F29" s="38">
        <f>+F28</f>
        <v>2027</v>
      </c>
      <c r="G29" s="44">
        <f t="shared" si="4"/>
        <v>14594.400000000001</v>
      </c>
      <c r="H29" s="44">
        <f t="shared" si="2"/>
        <v>175132.80000000002</v>
      </c>
      <c r="I29" s="59" t="s">
        <v>211</v>
      </c>
    </row>
    <row r="30" spans="1:9" x14ac:dyDescent="0.35">
      <c r="A30" s="34">
        <v>6</v>
      </c>
      <c r="B30" s="36" t="s">
        <v>62</v>
      </c>
      <c r="C30" s="36">
        <v>48</v>
      </c>
      <c r="D30" s="36">
        <f>3/1000</f>
        <v>3.0000000000000001E-3</v>
      </c>
      <c r="E30" s="36">
        <v>720</v>
      </c>
      <c r="F30" s="48">
        <f>+F28</f>
        <v>2027</v>
      </c>
      <c r="G30" s="49">
        <f t="shared" si="4"/>
        <v>210159.35999999999</v>
      </c>
      <c r="H30" s="49">
        <f t="shared" si="2"/>
        <v>2521912.3199999998</v>
      </c>
      <c r="I30" s="59" t="s">
        <v>210</v>
      </c>
    </row>
  </sheetData>
  <mergeCells count="18">
    <mergeCell ref="F18:F19"/>
    <mergeCell ref="G18:H18"/>
    <mergeCell ref="I18:I19"/>
    <mergeCell ref="A18:A19"/>
    <mergeCell ref="B18:B19"/>
    <mergeCell ref="C18:C19"/>
    <mergeCell ref="D18:D19"/>
    <mergeCell ref="E18:E1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H4"/>
  </mergeCells>
  <pageMargins left="1.36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7"/>
  <sheetViews>
    <sheetView topLeftCell="A39" zoomScale="142" zoomScaleNormal="142" workbookViewId="0">
      <selection activeCell="G54" sqref="G54"/>
    </sheetView>
  </sheetViews>
  <sheetFormatPr defaultColWidth="9.109375" defaultRowHeight="18" x14ac:dyDescent="0.35"/>
  <cols>
    <col min="1" max="1" width="5.109375" style="1" bestFit="1" customWidth="1"/>
    <col min="2" max="2" width="32.44140625" style="1" customWidth="1"/>
    <col min="3" max="3" width="9" style="1" customWidth="1"/>
    <col min="4" max="4" width="8.5546875" style="1" customWidth="1"/>
    <col min="5" max="5" width="14.5546875" style="1" customWidth="1"/>
    <col min="6" max="6" width="13" style="1" customWidth="1"/>
    <col min="7" max="7" width="9" style="1" customWidth="1"/>
    <col min="8" max="8" width="15.44140625" style="1" customWidth="1"/>
    <col min="9" max="9" width="13.6640625" style="1" customWidth="1"/>
    <col min="10" max="16384" width="9.109375" style="1"/>
  </cols>
  <sheetData>
    <row r="1" spans="1:9" x14ac:dyDescent="0.35">
      <c r="A1" s="160" t="s">
        <v>40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35">
      <c r="A2" s="160" t="s">
        <v>196</v>
      </c>
      <c r="B2" s="160"/>
      <c r="C2" s="160"/>
      <c r="D2" s="160"/>
      <c r="E2" s="160"/>
      <c r="F2" s="160"/>
      <c r="G2" s="160"/>
      <c r="H2" s="160"/>
      <c r="I2" s="160"/>
    </row>
    <row r="3" spans="1:9" x14ac:dyDescent="0.35">
      <c r="A3" s="76"/>
      <c r="B3" s="76" t="s">
        <v>252</v>
      </c>
      <c r="C3" s="76"/>
      <c r="D3" s="76"/>
      <c r="E3" s="76"/>
      <c r="F3" s="76"/>
      <c r="G3" s="76"/>
      <c r="H3" s="76"/>
      <c r="I3" s="76"/>
    </row>
    <row r="4" spans="1:9" x14ac:dyDescent="0.35">
      <c r="A4" s="161" t="s">
        <v>3</v>
      </c>
      <c r="B4" s="161" t="s">
        <v>41</v>
      </c>
      <c r="C4" s="161" t="s">
        <v>15</v>
      </c>
      <c r="D4" s="161" t="s">
        <v>29</v>
      </c>
      <c r="E4" s="161" t="s">
        <v>42</v>
      </c>
      <c r="F4" s="161" t="s">
        <v>43</v>
      </c>
      <c r="G4" s="161" t="s">
        <v>44</v>
      </c>
      <c r="H4" s="163" t="s">
        <v>45</v>
      </c>
      <c r="I4" s="163"/>
    </row>
    <row r="5" spans="1:9" x14ac:dyDescent="0.35">
      <c r="A5" s="161"/>
      <c r="B5" s="161"/>
      <c r="C5" s="161"/>
      <c r="D5" s="161"/>
      <c r="E5" s="161"/>
      <c r="F5" s="161"/>
      <c r="G5" s="161"/>
      <c r="H5" s="33" t="s">
        <v>7</v>
      </c>
      <c r="I5" s="33" t="s">
        <v>8</v>
      </c>
    </row>
    <row r="6" spans="1:9" x14ac:dyDescent="0.35">
      <c r="A6" s="12">
        <v>-1</v>
      </c>
      <c r="B6" s="12">
        <v>-2</v>
      </c>
      <c r="C6" s="12">
        <v>-3</v>
      </c>
      <c r="D6" s="12">
        <v>-4</v>
      </c>
      <c r="E6" s="12">
        <v>-5</v>
      </c>
      <c r="F6" s="12">
        <v>-6</v>
      </c>
      <c r="G6" s="12">
        <v>-7</v>
      </c>
      <c r="H6" s="5" t="s">
        <v>88</v>
      </c>
      <c r="I6" s="11" t="s">
        <v>89</v>
      </c>
    </row>
    <row r="7" spans="1:9" x14ac:dyDescent="0.35">
      <c r="A7" s="164" t="s">
        <v>162</v>
      </c>
      <c r="B7" s="30" t="s">
        <v>128</v>
      </c>
      <c r="C7" s="30"/>
      <c r="D7" s="30"/>
      <c r="E7" s="30"/>
      <c r="F7" s="30"/>
      <c r="G7" s="30"/>
      <c r="H7" s="31">
        <f>+SUM(H8:H19)</f>
        <v>344327.08333333331</v>
      </c>
      <c r="I7" s="31">
        <f>+SUM(I8:I19)</f>
        <v>4131925</v>
      </c>
    </row>
    <row r="8" spans="1:9" ht="39.6" x14ac:dyDescent="0.35">
      <c r="A8" s="150">
        <v>1</v>
      </c>
      <c r="B8" s="14" t="s">
        <v>115</v>
      </c>
      <c r="C8" s="15" t="s">
        <v>197</v>
      </c>
      <c r="D8" s="16">
        <v>1</v>
      </c>
      <c r="E8" s="50">
        <v>1651000</v>
      </c>
      <c r="F8" s="50">
        <f>+E8*D8</f>
        <v>1651000</v>
      </c>
      <c r="G8" s="19">
        <v>8</v>
      </c>
      <c r="H8" s="19">
        <f>+F8/G8/12</f>
        <v>17197.916666666668</v>
      </c>
      <c r="I8" s="19">
        <f>+F8/G8</f>
        <v>206375</v>
      </c>
    </row>
    <row r="9" spans="1:9" x14ac:dyDescent="0.35">
      <c r="A9" s="150">
        <v>2</v>
      </c>
      <c r="B9" s="18" t="s">
        <v>116</v>
      </c>
      <c r="C9" s="15" t="s">
        <v>197</v>
      </c>
      <c r="D9" s="16">
        <v>2</v>
      </c>
      <c r="E9" s="50">
        <v>499000</v>
      </c>
      <c r="F9" s="50">
        <f t="shared" ref="F9:F14" si="0">+E9*D9</f>
        <v>998000</v>
      </c>
      <c r="G9" s="19">
        <v>8</v>
      </c>
      <c r="H9" s="19">
        <f>+F9/G9/12</f>
        <v>10395.833333333334</v>
      </c>
      <c r="I9" s="19">
        <f t="shared" ref="I9:I19" si="1">+F9/G9</f>
        <v>124750</v>
      </c>
    </row>
    <row r="10" spans="1:9" x14ac:dyDescent="0.35">
      <c r="A10" s="150">
        <v>3</v>
      </c>
      <c r="B10" s="18" t="s">
        <v>117</v>
      </c>
      <c r="C10" s="15" t="s">
        <v>197</v>
      </c>
      <c r="D10" s="16">
        <v>1</v>
      </c>
      <c r="E10" s="50">
        <v>3100000</v>
      </c>
      <c r="F10" s="50">
        <f t="shared" si="0"/>
        <v>3100000</v>
      </c>
      <c r="G10" s="19">
        <v>5</v>
      </c>
      <c r="H10" s="19">
        <f t="shared" ref="H10:H19" si="2">+F10/G10/12</f>
        <v>51666.666666666664</v>
      </c>
      <c r="I10" s="19">
        <f t="shared" si="1"/>
        <v>620000</v>
      </c>
    </row>
    <row r="11" spans="1:9" x14ac:dyDescent="0.35">
      <c r="A11" s="150">
        <v>4</v>
      </c>
      <c r="B11" s="18" t="s">
        <v>118</v>
      </c>
      <c r="C11" s="15" t="s">
        <v>197</v>
      </c>
      <c r="D11" s="16">
        <v>1</v>
      </c>
      <c r="E11" s="50">
        <v>6399000</v>
      </c>
      <c r="F11" s="50">
        <f t="shared" si="0"/>
        <v>6399000</v>
      </c>
      <c r="G11" s="19">
        <v>5</v>
      </c>
      <c r="H11" s="19">
        <f t="shared" si="2"/>
        <v>106650</v>
      </c>
      <c r="I11" s="19">
        <f t="shared" si="1"/>
        <v>1279800</v>
      </c>
    </row>
    <row r="12" spans="1:9" x14ac:dyDescent="0.35">
      <c r="A12" s="150">
        <v>5</v>
      </c>
      <c r="B12" s="18" t="s">
        <v>119</v>
      </c>
      <c r="C12" s="15" t="s">
        <v>93</v>
      </c>
      <c r="D12" s="16">
        <v>1</v>
      </c>
      <c r="E12" s="50">
        <v>6800000</v>
      </c>
      <c r="F12" s="50">
        <f t="shared" si="0"/>
        <v>6800000</v>
      </c>
      <c r="G12" s="19">
        <v>5</v>
      </c>
      <c r="H12" s="19">
        <f t="shared" si="2"/>
        <v>113333.33333333333</v>
      </c>
      <c r="I12" s="19">
        <f t="shared" si="1"/>
        <v>1360000</v>
      </c>
    </row>
    <row r="13" spans="1:9" ht="26.4" x14ac:dyDescent="0.35">
      <c r="A13" s="150">
        <v>6</v>
      </c>
      <c r="B13" s="14" t="s">
        <v>95</v>
      </c>
      <c r="C13" s="15" t="s">
        <v>197</v>
      </c>
      <c r="D13" s="16">
        <v>0</v>
      </c>
      <c r="E13" s="50"/>
      <c r="F13" s="50">
        <f t="shared" si="0"/>
        <v>0</v>
      </c>
      <c r="G13" s="19">
        <v>8</v>
      </c>
      <c r="H13" s="19">
        <f t="shared" si="2"/>
        <v>0</v>
      </c>
      <c r="I13" s="19">
        <f t="shared" si="1"/>
        <v>0</v>
      </c>
    </row>
    <row r="14" spans="1:9" x14ac:dyDescent="0.35">
      <c r="A14" s="150">
        <v>7</v>
      </c>
      <c r="B14" s="18" t="s">
        <v>96</v>
      </c>
      <c r="C14" s="15" t="s">
        <v>197</v>
      </c>
      <c r="D14" s="16">
        <v>0</v>
      </c>
      <c r="E14" s="50"/>
      <c r="F14" s="50">
        <f t="shared" si="0"/>
        <v>0</v>
      </c>
      <c r="G14" s="19">
        <v>5</v>
      </c>
      <c r="H14" s="19">
        <f t="shared" si="2"/>
        <v>0</v>
      </c>
      <c r="I14" s="19">
        <f t="shared" si="1"/>
        <v>0</v>
      </c>
    </row>
    <row r="15" spans="1:9" x14ac:dyDescent="0.35">
      <c r="A15" s="150">
        <v>6</v>
      </c>
      <c r="B15" s="18" t="s">
        <v>97</v>
      </c>
      <c r="C15" s="15" t="s">
        <v>197</v>
      </c>
      <c r="D15" s="16">
        <v>1</v>
      </c>
      <c r="E15" s="50">
        <v>800000</v>
      </c>
      <c r="F15" s="50">
        <v>800000</v>
      </c>
      <c r="G15" s="19">
        <v>5</v>
      </c>
      <c r="H15" s="19">
        <f t="shared" si="2"/>
        <v>13333.333333333334</v>
      </c>
      <c r="I15" s="19">
        <f t="shared" si="1"/>
        <v>160000</v>
      </c>
    </row>
    <row r="16" spans="1:9" x14ac:dyDescent="0.35">
      <c r="A16" s="150">
        <v>7</v>
      </c>
      <c r="B16" s="18" t="s">
        <v>132</v>
      </c>
      <c r="C16" s="15" t="s">
        <v>197</v>
      </c>
      <c r="D16" s="16">
        <v>1</v>
      </c>
      <c r="E16" s="50">
        <v>450000</v>
      </c>
      <c r="F16" s="50">
        <f t="shared" ref="F16:F18" si="3">+E16*D16</f>
        <v>450000</v>
      </c>
      <c r="G16" s="19">
        <v>5</v>
      </c>
      <c r="H16" s="19">
        <f t="shared" si="2"/>
        <v>7500</v>
      </c>
      <c r="I16" s="19">
        <f t="shared" si="1"/>
        <v>90000</v>
      </c>
    </row>
    <row r="17" spans="1:11" x14ac:dyDescent="0.35">
      <c r="A17" s="150">
        <v>8</v>
      </c>
      <c r="B17" s="18" t="s">
        <v>133</v>
      </c>
      <c r="C17" s="15" t="s">
        <v>197</v>
      </c>
      <c r="D17" s="16">
        <v>1</v>
      </c>
      <c r="E17" s="50">
        <f>155000+250000</f>
        <v>405000</v>
      </c>
      <c r="F17" s="50">
        <f t="shared" si="3"/>
        <v>405000</v>
      </c>
      <c r="G17" s="19">
        <v>5</v>
      </c>
      <c r="H17" s="19">
        <f t="shared" si="2"/>
        <v>6750</v>
      </c>
      <c r="I17" s="19">
        <f t="shared" si="1"/>
        <v>81000</v>
      </c>
    </row>
    <row r="18" spans="1:11" x14ac:dyDescent="0.35">
      <c r="A18" s="150">
        <v>9</v>
      </c>
      <c r="B18" s="18" t="s">
        <v>101</v>
      </c>
      <c r="C18" s="15" t="s">
        <v>197</v>
      </c>
      <c r="D18" s="16">
        <v>1</v>
      </c>
      <c r="E18" s="50">
        <v>250000</v>
      </c>
      <c r="F18" s="50">
        <f t="shared" si="3"/>
        <v>250000</v>
      </c>
      <c r="G18" s="19">
        <v>5</v>
      </c>
      <c r="H18" s="19">
        <f t="shared" si="2"/>
        <v>4166.666666666667</v>
      </c>
      <c r="I18" s="19">
        <f t="shared" si="1"/>
        <v>50000</v>
      </c>
    </row>
    <row r="19" spans="1:11" x14ac:dyDescent="0.35">
      <c r="A19" s="150">
        <v>10</v>
      </c>
      <c r="B19" s="18" t="s">
        <v>135</v>
      </c>
      <c r="C19" s="15" t="s">
        <v>197</v>
      </c>
      <c r="D19" s="16">
        <v>1</v>
      </c>
      <c r="E19" s="50">
        <v>10000</v>
      </c>
      <c r="F19" s="50">
        <v>800000</v>
      </c>
      <c r="G19" s="19">
        <v>5</v>
      </c>
      <c r="H19" s="19">
        <f t="shared" si="2"/>
        <v>13333.333333333334</v>
      </c>
      <c r="I19" s="19">
        <f t="shared" si="1"/>
        <v>160000</v>
      </c>
    </row>
    <row r="20" spans="1:11" x14ac:dyDescent="0.35">
      <c r="A20" s="165" t="s">
        <v>134</v>
      </c>
      <c r="B20" s="26" t="s">
        <v>129</v>
      </c>
      <c r="C20" s="27"/>
      <c r="D20" s="28"/>
      <c r="E20" s="51"/>
      <c r="F20" s="51"/>
      <c r="G20" s="52"/>
      <c r="H20" s="52">
        <f>+SUM(H21:H26)</f>
        <v>79250.000000000015</v>
      </c>
      <c r="I20" s="52">
        <f>+SUM(I21:I26)</f>
        <v>951000</v>
      </c>
    </row>
    <row r="21" spans="1:11" ht="26.4" x14ac:dyDescent="0.35">
      <c r="A21" s="166">
        <v>1</v>
      </c>
      <c r="B21" s="14" t="s">
        <v>130</v>
      </c>
      <c r="C21" s="15" t="s">
        <v>197</v>
      </c>
      <c r="D21" s="16">
        <v>1</v>
      </c>
      <c r="E21" s="50">
        <f>+E8</f>
        <v>1651000</v>
      </c>
      <c r="F21" s="50">
        <f t="shared" ref="F21:F26" si="4">+E21*D21</f>
        <v>1651000</v>
      </c>
      <c r="G21" s="19">
        <v>5</v>
      </c>
      <c r="H21" s="19">
        <f t="shared" ref="H21:H26" si="5">+F21/G21/12</f>
        <v>27516.666666666668</v>
      </c>
      <c r="I21" s="19">
        <f t="shared" ref="I21:I26" si="6">+F21/G21</f>
        <v>330200</v>
      </c>
    </row>
    <row r="22" spans="1:11" ht="26.4" x14ac:dyDescent="0.35">
      <c r="A22" s="166">
        <v>2</v>
      </c>
      <c r="B22" s="14" t="s">
        <v>116</v>
      </c>
      <c r="C22" s="15" t="s">
        <v>197</v>
      </c>
      <c r="D22" s="16">
        <v>1</v>
      </c>
      <c r="E22" s="50">
        <f>+E9</f>
        <v>499000</v>
      </c>
      <c r="F22" s="50">
        <f t="shared" si="4"/>
        <v>499000</v>
      </c>
      <c r="G22" s="19">
        <v>5</v>
      </c>
      <c r="H22" s="19">
        <f t="shared" si="5"/>
        <v>8316.6666666666661</v>
      </c>
      <c r="I22" s="19">
        <f t="shared" si="6"/>
        <v>99800</v>
      </c>
    </row>
    <row r="23" spans="1:11" x14ac:dyDescent="0.35">
      <c r="A23" s="166">
        <v>3</v>
      </c>
      <c r="B23" s="18" t="s">
        <v>131</v>
      </c>
      <c r="C23" s="15" t="s">
        <v>197</v>
      </c>
      <c r="D23" s="16">
        <v>1</v>
      </c>
      <c r="E23" s="50">
        <v>1500000</v>
      </c>
      <c r="F23" s="50">
        <f t="shared" si="4"/>
        <v>1500000</v>
      </c>
      <c r="G23" s="19">
        <v>5</v>
      </c>
      <c r="H23" s="19">
        <f t="shared" si="5"/>
        <v>25000</v>
      </c>
      <c r="I23" s="19">
        <f t="shared" si="6"/>
        <v>300000</v>
      </c>
    </row>
    <row r="24" spans="1:11" x14ac:dyDescent="0.35">
      <c r="A24" s="166">
        <v>4</v>
      </c>
      <c r="B24" s="18" t="s">
        <v>132</v>
      </c>
      <c r="C24" s="15" t="s">
        <v>197</v>
      </c>
      <c r="D24" s="16">
        <v>1</v>
      </c>
      <c r="E24" s="50">
        <v>450000</v>
      </c>
      <c r="F24" s="50">
        <f t="shared" si="4"/>
        <v>450000</v>
      </c>
      <c r="G24" s="19">
        <v>5</v>
      </c>
      <c r="H24" s="19">
        <f t="shared" si="5"/>
        <v>7500</v>
      </c>
      <c r="I24" s="19">
        <f t="shared" si="6"/>
        <v>90000</v>
      </c>
    </row>
    <row r="25" spans="1:11" x14ac:dyDescent="0.35">
      <c r="A25" s="166">
        <v>5</v>
      </c>
      <c r="B25" s="18" t="s">
        <v>133</v>
      </c>
      <c r="C25" s="15" t="s">
        <v>93</v>
      </c>
      <c r="D25" s="16">
        <v>1</v>
      </c>
      <c r="E25" s="50">
        <f>155000+250000</f>
        <v>405000</v>
      </c>
      <c r="F25" s="50">
        <f t="shared" si="4"/>
        <v>405000</v>
      </c>
      <c r="G25" s="19">
        <v>5</v>
      </c>
      <c r="H25" s="19">
        <f t="shared" si="5"/>
        <v>6750</v>
      </c>
      <c r="I25" s="19">
        <f t="shared" si="6"/>
        <v>81000</v>
      </c>
    </row>
    <row r="26" spans="1:11" x14ac:dyDescent="0.35">
      <c r="A26" s="166">
        <v>6</v>
      </c>
      <c r="B26" s="18" t="s">
        <v>101</v>
      </c>
      <c r="C26" s="15" t="s">
        <v>197</v>
      </c>
      <c r="D26" s="16">
        <v>1</v>
      </c>
      <c r="E26" s="50">
        <v>250000</v>
      </c>
      <c r="F26" s="50">
        <f t="shared" si="4"/>
        <v>250000</v>
      </c>
      <c r="G26" s="19">
        <v>5</v>
      </c>
      <c r="H26" s="19">
        <f t="shared" si="5"/>
        <v>4166.666666666667</v>
      </c>
      <c r="I26" s="19">
        <f t="shared" si="6"/>
        <v>50000</v>
      </c>
    </row>
    <row r="27" spans="1:11" x14ac:dyDescent="0.35">
      <c r="A27" s="7"/>
      <c r="B27" s="7" t="s">
        <v>257</v>
      </c>
      <c r="C27" s="7"/>
      <c r="D27" s="7"/>
      <c r="E27" s="7"/>
      <c r="F27" s="7"/>
      <c r="G27" s="7"/>
      <c r="H27" s="167"/>
      <c r="I27" s="7"/>
    </row>
    <row r="28" spans="1:11" ht="18.75" customHeight="1" x14ac:dyDescent="0.35">
      <c r="A28" s="161" t="s">
        <v>3</v>
      </c>
      <c r="B28" s="161" t="s">
        <v>41</v>
      </c>
      <c r="C28" s="161" t="s">
        <v>15</v>
      </c>
      <c r="D28" s="161" t="s">
        <v>29</v>
      </c>
      <c r="E28" s="161" t="s">
        <v>42</v>
      </c>
      <c r="F28" s="161" t="s">
        <v>43</v>
      </c>
      <c r="G28" s="161" t="s">
        <v>44</v>
      </c>
      <c r="H28" s="163" t="s">
        <v>45</v>
      </c>
      <c r="I28" s="163"/>
    </row>
    <row r="29" spans="1:11" x14ac:dyDescent="0.35">
      <c r="A29" s="161"/>
      <c r="B29" s="161"/>
      <c r="C29" s="161"/>
      <c r="D29" s="161"/>
      <c r="E29" s="161"/>
      <c r="F29" s="161"/>
      <c r="G29" s="161"/>
      <c r="H29" s="33" t="s">
        <v>7</v>
      </c>
      <c r="I29" s="33" t="s">
        <v>8</v>
      </c>
    </row>
    <row r="30" spans="1:11" x14ac:dyDescent="0.35">
      <c r="A30" s="12">
        <v>-1</v>
      </c>
      <c r="B30" s="12">
        <v>-2</v>
      </c>
      <c r="C30" s="12">
        <v>-3</v>
      </c>
      <c r="D30" s="12">
        <v>-4</v>
      </c>
      <c r="E30" s="12">
        <v>-5</v>
      </c>
      <c r="F30" s="12">
        <v>-6</v>
      </c>
      <c r="G30" s="12">
        <v>-7</v>
      </c>
      <c r="H30" s="5" t="s">
        <v>88</v>
      </c>
      <c r="I30" s="11" t="s">
        <v>89</v>
      </c>
    </row>
    <row r="31" spans="1:11" s="24" customFormat="1" ht="17.399999999999999" x14ac:dyDescent="0.3">
      <c r="A31" s="164" t="s">
        <v>162</v>
      </c>
      <c r="B31" s="30" t="s">
        <v>128</v>
      </c>
      <c r="C31" s="30"/>
      <c r="D31" s="30"/>
      <c r="E31" s="30"/>
      <c r="F31" s="30"/>
      <c r="G31" s="30"/>
      <c r="H31" s="31">
        <f>+SUM(H32:H43)</f>
        <v>602900.00000000012</v>
      </c>
      <c r="I31" s="31">
        <f>+SUM(I32:I43)</f>
        <v>7234800</v>
      </c>
    </row>
    <row r="32" spans="1:11" ht="39.6" x14ac:dyDescent="0.35">
      <c r="A32" s="150">
        <v>1</v>
      </c>
      <c r="B32" s="14" t="s">
        <v>115</v>
      </c>
      <c r="C32" s="15" t="s">
        <v>197</v>
      </c>
      <c r="D32" s="16">
        <v>4</v>
      </c>
      <c r="E32" s="50">
        <v>1651000</v>
      </c>
      <c r="F32" s="50">
        <f>+E32*D32</f>
        <v>6604000</v>
      </c>
      <c r="G32" s="19">
        <v>8</v>
      </c>
      <c r="H32" s="19">
        <f>+F32/G32/12</f>
        <v>68791.666666666672</v>
      </c>
      <c r="I32" s="19">
        <f>+F32/G32</f>
        <v>825500</v>
      </c>
      <c r="K32" s="17" t="s">
        <v>90</v>
      </c>
    </row>
    <row r="33" spans="1:11" x14ac:dyDescent="0.35">
      <c r="A33" s="150">
        <v>2</v>
      </c>
      <c r="B33" s="18" t="s">
        <v>116</v>
      </c>
      <c r="C33" s="15" t="s">
        <v>197</v>
      </c>
      <c r="D33" s="16">
        <v>12</v>
      </c>
      <c r="E33" s="50">
        <v>499000</v>
      </c>
      <c r="F33" s="50">
        <f t="shared" ref="F33:F38" si="7">+E33*D33</f>
        <v>5988000</v>
      </c>
      <c r="G33" s="19">
        <v>8</v>
      </c>
      <c r="H33" s="19">
        <f>+F33/G33/12</f>
        <v>62375</v>
      </c>
      <c r="I33" s="19">
        <f t="shared" ref="I33:I42" si="8">+F33/G33</f>
        <v>748500</v>
      </c>
      <c r="K33" s="17" t="s">
        <v>90</v>
      </c>
    </row>
    <row r="34" spans="1:11" x14ac:dyDescent="0.35">
      <c r="A34" s="150">
        <v>3</v>
      </c>
      <c r="B34" s="18" t="s">
        <v>117</v>
      </c>
      <c r="C34" s="15" t="s">
        <v>197</v>
      </c>
      <c r="D34" s="16">
        <v>4</v>
      </c>
      <c r="E34" s="50">
        <v>3100000</v>
      </c>
      <c r="F34" s="50">
        <f t="shared" si="7"/>
        <v>12400000</v>
      </c>
      <c r="G34" s="19">
        <v>5</v>
      </c>
      <c r="H34" s="19">
        <f t="shared" ref="H34:H42" si="9">+F34/G34/12</f>
        <v>206666.66666666666</v>
      </c>
      <c r="I34" s="19">
        <f t="shared" si="8"/>
        <v>2480000</v>
      </c>
      <c r="K34" s="17" t="s">
        <v>91</v>
      </c>
    </row>
    <row r="35" spans="1:11" x14ac:dyDescent="0.35">
      <c r="A35" s="150">
        <v>4</v>
      </c>
      <c r="B35" s="18" t="s">
        <v>118</v>
      </c>
      <c r="C35" s="15" t="s">
        <v>197</v>
      </c>
      <c r="D35" s="16">
        <v>1</v>
      </c>
      <c r="E35" s="50">
        <v>6399000</v>
      </c>
      <c r="F35" s="50">
        <f t="shared" si="7"/>
        <v>6399000</v>
      </c>
      <c r="G35" s="19">
        <v>5</v>
      </c>
      <c r="H35" s="19">
        <f t="shared" si="9"/>
        <v>106650</v>
      </c>
      <c r="I35" s="19">
        <f t="shared" si="8"/>
        <v>1279800</v>
      </c>
      <c r="K35" s="17" t="s">
        <v>92</v>
      </c>
    </row>
    <row r="36" spans="1:11" x14ac:dyDescent="0.35">
      <c r="A36" s="150">
        <v>5</v>
      </c>
      <c r="B36" s="18" t="s">
        <v>119</v>
      </c>
      <c r="C36" s="15" t="s">
        <v>93</v>
      </c>
      <c r="D36" s="16">
        <v>1</v>
      </c>
      <c r="E36" s="50">
        <v>6800000</v>
      </c>
      <c r="F36" s="50">
        <f t="shared" si="7"/>
        <v>6800000</v>
      </c>
      <c r="G36" s="19">
        <v>5</v>
      </c>
      <c r="H36" s="19">
        <f t="shared" si="9"/>
        <v>113333.33333333333</v>
      </c>
      <c r="I36" s="19">
        <f t="shared" si="8"/>
        <v>1360000</v>
      </c>
      <c r="K36" s="17" t="s">
        <v>94</v>
      </c>
    </row>
    <row r="37" spans="1:11" ht="26.4" hidden="1" x14ac:dyDescent="0.35">
      <c r="A37" s="150">
        <v>6</v>
      </c>
      <c r="B37" s="14" t="s">
        <v>95</v>
      </c>
      <c r="C37" s="15" t="s">
        <v>197</v>
      </c>
      <c r="D37" s="16">
        <v>0</v>
      </c>
      <c r="E37" s="50"/>
      <c r="F37" s="50">
        <f t="shared" si="7"/>
        <v>0</v>
      </c>
      <c r="G37" s="19">
        <v>8</v>
      </c>
      <c r="H37" s="19">
        <f t="shared" si="9"/>
        <v>0</v>
      </c>
      <c r="I37" s="19">
        <f t="shared" si="8"/>
        <v>0</v>
      </c>
    </row>
    <row r="38" spans="1:11" hidden="1" x14ac:dyDescent="0.35">
      <c r="A38" s="150">
        <v>7</v>
      </c>
      <c r="B38" s="18" t="s">
        <v>96</v>
      </c>
      <c r="C38" s="15" t="s">
        <v>197</v>
      </c>
      <c r="D38" s="16">
        <v>0</v>
      </c>
      <c r="E38" s="50"/>
      <c r="F38" s="50">
        <f t="shared" si="7"/>
        <v>0</v>
      </c>
      <c r="G38" s="19">
        <v>5</v>
      </c>
      <c r="H38" s="19">
        <f t="shared" si="9"/>
        <v>0</v>
      </c>
      <c r="I38" s="19">
        <f t="shared" si="8"/>
        <v>0</v>
      </c>
    </row>
    <row r="39" spans="1:11" x14ac:dyDescent="0.35">
      <c r="A39" s="150">
        <v>6</v>
      </c>
      <c r="B39" s="18" t="s">
        <v>97</v>
      </c>
      <c r="C39" s="15" t="s">
        <v>197</v>
      </c>
      <c r="D39" s="16">
        <v>1</v>
      </c>
      <c r="E39" s="50">
        <v>800000</v>
      </c>
      <c r="F39" s="50">
        <v>800000</v>
      </c>
      <c r="G39" s="19">
        <v>5</v>
      </c>
      <c r="H39" s="19">
        <f t="shared" si="9"/>
        <v>13333.333333333334</v>
      </c>
      <c r="I39" s="19">
        <f t="shared" si="8"/>
        <v>160000</v>
      </c>
      <c r="K39" s="60" t="s">
        <v>215</v>
      </c>
    </row>
    <row r="40" spans="1:11" x14ac:dyDescent="0.35">
      <c r="A40" s="150">
        <v>7</v>
      </c>
      <c r="B40" s="18" t="s">
        <v>132</v>
      </c>
      <c r="C40" s="15" t="s">
        <v>197</v>
      </c>
      <c r="D40" s="16">
        <v>1</v>
      </c>
      <c r="E40" s="50">
        <v>450000</v>
      </c>
      <c r="F40" s="50">
        <f t="shared" ref="F40:F42" si="10">+E40*D40</f>
        <v>450000</v>
      </c>
      <c r="G40" s="19">
        <v>5</v>
      </c>
      <c r="H40" s="19">
        <f t="shared" si="9"/>
        <v>7500</v>
      </c>
      <c r="I40" s="19">
        <f t="shared" si="8"/>
        <v>90000</v>
      </c>
    </row>
    <row r="41" spans="1:11" x14ac:dyDescent="0.35">
      <c r="A41" s="150">
        <v>8</v>
      </c>
      <c r="B41" s="18" t="s">
        <v>133</v>
      </c>
      <c r="C41" s="15" t="s">
        <v>197</v>
      </c>
      <c r="D41" s="16">
        <v>1</v>
      </c>
      <c r="E41" s="50">
        <f>155000+250000</f>
        <v>405000</v>
      </c>
      <c r="F41" s="50">
        <f t="shared" si="10"/>
        <v>405000</v>
      </c>
      <c r="G41" s="19">
        <v>5</v>
      </c>
      <c r="H41" s="19">
        <f t="shared" si="9"/>
        <v>6750</v>
      </c>
      <c r="I41" s="19">
        <f t="shared" si="8"/>
        <v>81000</v>
      </c>
    </row>
    <row r="42" spans="1:11" x14ac:dyDescent="0.35">
      <c r="A42" s="150">
        <v>9</v>
      </c>
      <c r="B42" s="18" t="s">
        <v>101</v>
      </c>
      <c r="C42" s="15" t="s">
        <v>197</v>
      </c>
      <c r="D42" s="16">
        <v>1</v>
      </c>
      <c r="E42" s="50">
        <v>250000</v>
      </c>
      <c r="F42" s="50">
        <f t="shared" si="10"/>
        <v>250000</v>
      </c>
      <c r="G42" s="19">
        <v>5</v>
      </c>
      <c r="H42" s="19">
        <f t="shared" si="9"/>
        <v>4166.666666666667</v>
      </c>
      <c r="I42" s="19">
        <f t="shared" si="8"/>
        <v>50000</v>
      </c>
    </row>
    <row r="43" spans="1:11" x14ac:dyDescent="0.35">
      <c r="A43" s="150">
        <v>10</v>
      </c>
      <c r="B43" s="18" t="s">
        <v>135</v>
      </c>
      <c r="C43" s="15" t="s">
        <v>197</v>
      </c>
      <c r="D43" s="16">
        <v>1</v>
      </c>
      <c r="E43" s="50">
        <v>10000</v>
      </c>
      <c r="F43" s="50">
        <v>800000</v>
      </c>
      <c r="G43" s="19">
        <v>5</v>
      </c>
      <c r="H43" s="19">
        <f t="shared" ref="H43" si="11">+F43/G43/12</f>
        <v>13333.333333333334</v>
      </c>
      <c r="I43" s="19">
        <f t="shared" ref="I43" si="12">+F43/G43</f>
        <v>160000</v>
      </c>
    </row>
    <row r="44" spans="1:11" s="24" customFormat="1" ht="17.399999999999999" x14ac:dyDescent="0.3">
      <c r="A44" s="165" t="s">
        <v>134</v>
      </c>
      <c r="B44" s="26" t="s">
        <v>129</v>
      </c>
      <c r="C44" s="27"/>
      <c r="D44" s="28"/>
      <c r="E44" s="51"/>
      <c r="F44" s="51"/>
      <c r="G44" s="52"/>
      <c r="H44" s="52">
        <f>+SUM(H45:H50)</f>
        <v>79250.000000000015</v>
      </c>
      <c r="I44" s="52">
        <f>+SUM(I45:I50)</f>
        <v>951000</v>
      </c>
    </row>
    <row r="45" spans="1:11" ht="26.4" x14ac:dyDescent="0.35">
      <c r="A45" s="166">
        <v>1</v>
      </c>
      <c r="B45" s="14" t="s">
        <v>130</v>
      </c>
      <c r="C45" s="15" t="s">
        <v>197</v>
      </c>
      <c r="D45" s="16">
        <v>1</v>
      </c>
      <c r="E45" s="50">
        <f>+E32</f>
        <v>1651000</v>
      </c>
      <c r="F45" s="50">
        <f t="shared" ref="F45:F49" si="13">+E45*D45</f>
        <v>1651000</v>
      </c>
      <c r="G45" s="19">
        <v>5</v>
      </c>
      <c r="H45" s="19">
        <f t="shared" ref="H45:H49" si="14">+F45/G45/12</f>
        <v>27516.666666666668</v>
      </c>
      <c r="I45" s="19">
        <f t="shared" ref="I45:I49" si="15">+F45/G45</f>
        <v>330200</v>
      </c>
    </row>
    <row r="46" spans="1:11" ht="26.4" x14ac:dyDescent="0.35">
      <c r="A46" s="166">
        <v>2</v>
      </c>
      <c r="B46" s="14" t="s">
        <v>116</v>
      </c>
      <c r="C46" s="15" t="s">
        <v>197</v>
      </c>
      <c r="D46" s="16">
        <v>1</v>
      </c>
      <c r="E46" s="50">
        <f>+E33</f>
        <v>499000</v>
      </c>
      <c r="F46" s="50">
        <f t="shared" si="13"/>
        <v>499000</v>
      </c>
      <c r="G46" s="19">
        <v>5</v>
      </c>
      <c r="H46" s="19">
        <f t="shared" si="14"/>
        <v>8316.6666666666661</v>
      </c>
      <c r="I46" s="19">
        <f t="shared" si="15"/>
        <v>99800</v>
      </c>
    </row>
    <row r="47" spans="1:11" x14ac:dyDescent="0.35">
      <c r="A47" s="166">
        <v>3</v>
      </c>
      <c r="B47" s="18" t="s">
        <v>131</v>
      </c>
      <c r="C47" s="15" t="s">
        <v>197</v>
      </c>
      <c r="D47" s="16">
        <v>1</v>
      </c>
      <c r="E47" s="50">
        <v>1500000</v>
      </c>
      <c r="F47" s="50">
        <f t="shared" si="13"/>
        <v>1500000</v>
      </c>
      <c r="G47" s="19">
        <v>5</v>
      </c>
      <c r="H47" s="19">
        <f t="shared" si="14"/>
        <v>25000</v>
      </c>
      <c r="I47" s="19">
        <f t="shared" si="15"/>
        <v>300000</v>
      </c>
    </row>
    <row r="48" spans="1:11" x14ac:dyDescent="0.35">
      <c r="A48" s="166">
        <v>4</v>
      </c>
      <c r="B48" s="18" t="s">
        <v>132</v>
      </c>
      <c r="C48" s="15" t="s">
        <v>197</v>
      </c>
      <c r="D48" s="16">
        <v>1</v>
      </c>
      <c r="E48" s="50">
        <v>450000</v>
      </c>
      <c r="F48" s="50">
        <f t="shared" si="13"/>
        <v>450000</v>
      </c>
      <c r="G48" s="19">
        <v>5</v>
      </c>
      <c r="H48" s="19">
        <f t="shared" si="14"/>
        <v>7500</v>
      </c>
      <c r="I48" s="19">
        <f t="shared" si="15"/>
        <v>90000</v>
      </c>
    </row>
    <row r="49" spans="1:9" x14ac:dyDescent="0.35">
      <c r="A49" s="166">
        <v>5</v>
      </c>
      <c r="B49" s="18" t="s">
        <v>133</v>
      </c>
      <c r="C49" s="15" t="s">
        <v>93</v>
      </c>
      <c r="D49" s="16">
        <v>1</v>
      </c>
      <c r="E49" s="50">
        <f>155000+250000</f>
        <v>405000</v>
      </c>
      <c r="F49" s="50">
        <f t="shared" si="13"/>
        <v>405000</v>
      </c>
      <c r="G49" s="19">
        <v>5</v>
      </c>
      <c r="H49" s="19">
        <f t="shared" si="14"/>
        <v>6750</v>
      </c>
      <c r="I49" s="19">
        <f t="shared" si="15"/>
        <v>81000</v>
      </c>
    </row>
    <row r="50" spans="1:9" x14ac:dyDescent="0.35">
      <c r="A50" s="166">
        <v>6</v>
      </c>
      <c r="B50" s="18" t="s">
        <v>101</v>
      </c>
      <c r="C50" s="15" t="s">
        <v>197</v>
      </c>
      <c r="D50" s="16">
        <v>1</v>
      </c>
      <c r="E50" s="50">
        <v>250000</v>
      </c>
      <c r="F50" s="50">
        <f t="shared" ref="F50" si="16">+E50*D50</f>
        <v>250000</v>
      </c>
      <c r="G50" s="19">
        <v>5</v>
      </c>
      <c r="H50" s="19">
        <f t="shared" ref="H50" si="17">+F50/G50/12</f>
        <v>4166.666666666667</v>
      </c>
      <c r="I50" s="19">
        <f t="shared" ref="I50" si="18">+F50/G50</f>
        <v>50000</v>
      </c>
    </row>
    <row r="51" spans="1:9" x14ac:dyDescent="0.35">
      <c r="B51" s="20"/>
      <c r="C51" s="21"/>
      <c r="D51" s="22"/>
      <c r="E51" s="23"/>
      <c r="F51" s="23"/>
      <c r="G51" s="13"/>
      <c r="H51" s="13"/>
      <c r="I51" s="13"/>
    </row>
    <row r="52" spans="1:9" ht="18.600000000000001" thickBot="1" x14ac:dyDescent="0.4"/>
    <row r="53" spans="1:9" ht="18.600000000000001" thickBot="1" x14ac:dyDescent="0.4">
      <c r="B53" s="65" t="s">
        <v>63</v>
      </c>
      <c r="C53" s="66">
        <v>5</v>
      </c>
      <c r="D53" s="66">
        <v>20</v>
      </c>
    </row>
    <row r="54" spans="1:9" ht="27" thickBot="1" x14ac:dyDescent="0.4">
      <c r="B54" s="67" t="s">
        <v>64</v>
      </c>
      <c r="C54" s="68">
        <v>5</v>
      </c>
      <c r="D54" s="68">
        <v>20</v>
      </c>
    </row>
    <row r="55" spans="1:9" ht="18.600000000000001" thickBot="1" x14ac:dyDescent="0.4">
      <c r="B55" s="67" t="s">
        <v>65</v>
      </c>
      <c r="C55" s="68">
        <v>5</v>
      </c>
      <c r="D55" s="68">
        <v>20</v>
      </c>
    </row>
    <row r="56" spans="1:9" ht="18.600000000000001" thickBot="1" x14ac:dyDescent="0.4">
      <c r="B56" s="67" t="s">
        <v>66</v>
      </c>
      <c r="C56" s="68">
        <v>5</v>
      </c>
      <c r="D56" s="68">
        <v>20</v>
      </c>
    </row>
    <row r="57" spans="1:9" ht="18.600000000000001" thickBot="1" x14ac:dyDescent="0.4">
      <c r="B57" s="67" t="s">
        <v>67</v>
      </c>
      <c r="C57" s="68">
        <v>5</v>
      </c>
      <c r="D57" s="68">
        <v>20</v>
      </c>
    </row>
    <row r="58" spans="1:9" ht="18.600000000000001" thickBot="1" x14ac:dyDescent="0.4">
      <c r="B58" s="67" t="s">
        <v>68</v>
      </c>
      <c r="C58" s="68">
        <v>5</v>
      </c>
      <c r="D58" s="68">
        <v>20</v>
      </c>
    </row>
    <row r="59" spans="1:9" ht="18.600000000000001" thickBot="1" x14ac:dyDescent="0.4">
      <c r="B59" s="67" t="s">
        <v>69</v>
      </c>
      <c r="C59" s="68">
        <v>5</v>
      </c>
      <c r="D59" s="68">
        <v>20</v>
      </c>
    </row>
    <row r="60" spans="1:9" ht="18.600000000000001" thickBot="1" x14ac:dyDescent="0.4">
      <c r="B60" s="67" t="s">
        <v>70</v>
      </c>
      <c r="C60" s="68">
        <v>5</v>
      </c>
      <c r="D60" s="68">
        <v>20</v>
      </c>
    </row>
    <row r="61" spans="1:9" ht="27" thickBot="1" x14ac:dyDescent="0.4">
      <c r="B61" s="67" t="s">
        <v>71</v>
      </c>
      <c r="C61" s="68">
        <v>8</v>
      </c>
      <c r="D61" s="68">
        <v>12.5</v>
      </c>
    </row>
    <row r="62" spans="1:9" ht="18.600000000000001" thickBot="1" x14ac:dyDescent="0.4">
      <c r="B62" s="67" t="s">
        <v>72</v>
      </c>
      <c r="C62" s="68">
        <v>8</v>
      </c>
      <c r="D62" s="68">
        <v>12.5</v>
      </c>
    </row>
    <row r="63" spans="1:9" ht="18.600000000000001" thickBot="1" x14ac:dyDescent="0.4">
      <c r="B63" s="67" t="s">
        <v>73</v>
      </c>
      <c r="C63" s="68">
        <v>8</v>
      </c>
      <c r="D63" s="68">
        <v>12.5</v>
      </c>
    </row>
    <row r="64" spans="1:9" ht="18.600000000000001" thickBot="1" x14ac:dyDescent="0.4">
      <c r="B64" s="67" t="s">
        <v>74</v>
      </c>
      <c r="C64" s="68">
        <v>8</v>
      </c>
      <c r="D64" s="68">
        <v>12.5</v>
      </c>
    </row>
    <row r="65" spans="2:4" ht="18.600000000000001" thickBot="1" x14ac:dyDescent="0.4">
      <c r="B65" s="67" t="s">
        <v>75</v>
      </c>
      <c r="C65" s="68">
        <v>5</v>
      </c>
      <c r="D65" s="68">
        <v>20</v>
      </c>
    </row>
    <row r="66" spans="2:4" ht="18.600000000000001" thickBot="1" x14ac:dyDescent="0.4">
      <c r="B66" s="67" t="s">
        <v>76</v>
      </c>
      <c r="C66" s="68">
        <v>5</v>
      </c>
      <c r="D66" s="68">
        <v>20</v>
      </c>
    </row>
    <row r="67" spans="2:4" ht="27" thickBot="1" x14ac:dyDescent="0.4">
      <c r="B67" s="67" t="s">
        <v>77</v>
      </c>
      <c r="C67" s="68" t="s">
        <v>78</v>
      </c>
      <c r="D67" s="68">
        <v>20</v>
      </c>
    </row>
    <row r="68" spans="2:4" ht="18.600000000000001" thickBot="1" x14ac:dyDescent="0.4"/>
    <row r="69" spans="2:4" ht="18.600000000000001" thickBot="1" x14ac:dyDescent="0.4">
      <c r="B69" s="65" t="s">
        <v>79</v>
      </c>
      <c r="C69" s="66" t="s">
        <v>78</v>
      </c>
      <c r="D69" s="66">
        <v>20</v>
      </c>
    </row>
    <row r="70" spans="2:4" ht="18.600000000000001" thickBot="1" x14ac:dyDescent="0.4">
      <c r="B70" s="67" t="s">
        <v>80</v>
      </c>
      <c r="C70" s="68">
        <v>5</v>
      </c>
      <c r="D70" s="68">
        <v>20</v>
      </c>
    </row>
    <row r="71" spans="2:4" ht="27" thickBot="1" x14ac:dyDescent="0.4">
      <c r="B71" s="67" t="s">
        <v>81</v>
      </c>
      <c r="C71" s="68" t="s">
        <v>78</v>
      </c>
      <c r="D71" s="68">
        <v>20</v>
      </c>
    </row>
    <row r="72" spans="2:4" ht="18.600000000000001" thickBot="1" x14ac:dyDescent="0.4">
      <c r="B72" s="67" t="s">
        <v>82</v>
      </c>
      <c r="C72" s="68">
        <v>5</v>
      </c>
      <c r="D72" s="68">
        <v>20</v>
      </c>
    </row>
    <row r="73" spans="2:4" ht="18.600000000000001" thickBot="1" x14ac:dyDescent="0.4">
      <c r="B73" s="67" t="s">
        <v>83</v>
      </c>
      <c r="C73" s="68">
        <v>5</v>
      </c>
      <c r="D73" s="68">
        <v>20</v>
      </c>
    </row>
    <row r="74" spans="2:4" ht="18.600000000000001" thickBot="1" x14ac:dyDescent="0.4">
      <c r="B74" s="67" t="s">
        <v>84</v>
      </c>
      <c r="C74" s="68">
        <v>8</v>
      </c>
      <c r="D74" s="68">
        <v>12.5</v>
      </c>
    </row>
    <row r="75" spans="2:4" ht="18.600000000000001" thickBot="1" x14ac:dyDescent="0.4">
      <c r="B75" s="67" t="s">
        <v>85</v>
      </c>
      <c r="C75" s="68">
        <v>8</v>
      </c>
      <c r="D75" s="68">
        <v>12.5</v>
      </c>
    </row>
    <row r="76" spans="2:4" ht="18.600000000000001" thickBot="1" x14ac:dyDescent="0.4">
      <c r="B76" s="67" t="s">
        <v>86</v>
      </c>
      <c r="C76" s="68">
        <v>8</v>
      </c>
      <c r="D76" s="68">
        <v>12.5</v>
      </c>
    </row>
    <row r="77" spans="2:4" ht="18.600000000000001" thickBot="1" x14ac:dyDescent="0.4">
      <c r="B77" s="67" t="s">
        <v>87</v>
      </c>
      <c r="C77" s="68">
        <v>8</v>
      </c>
      <c r="D77" s="68">
        <v>12.5</v>
      </c>
    </row>
  </sheetData>
  <mergeCells count="18">
    <mergeCell ref="C28:C29"/>
    <mergeCell ref="A1:I1"/>
    <mergeCell ref="A2:I2"/>
    <mergeCell ref="A28:A29"/>
    <mergeCell ref="B28:B29"/>
    <mergeCell ref="D28:D29"/>
    <mergeCell ref="E28:E29"/>
    <mergeCell ref="F28:F29"/>
    <mergeCell ref="A4:A5"/>
    <mergeCell ref="B4:B5"/>
    <mergeCell ref="C4:C5"/>
    <mergeCell ref="D4:D5"/>
    <mergeCell ref="E4:E5"/>
    <mergeCell ref="F4:F5"/>
    <mergeCell ref="G4:G5"/>
    <mergeCell ref="H4:I4"/>
    <mergeCell ref="G28:G29"/>
    <mergeCell ref="H28:I28"/>
  </mergeCells>
  <pageMargins left="1.36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zoomScaleNormal="100" workbookViewId="0">
      <selection activeCell="J17" sqref="J17"/>
    </sheetView>
  </sheetViews>
  <sheetFormatPr defaultColWidth="9.109375" defaultRowHeight="18" x14ac:dyDescent="0.35"/>
  <cols>
    <col min="1" max="1" width="8.109375" style="176" customWidth="1"/>
    <col min="2" max="2" width="37.77734375" style="1" customWidth="1"/>
    <col min="3" max="3" width="11.88671875" style="176" customWidth="1"/>
    <col min="4" max="4" width="8.5546875" style="1" customWidth="1"/>
    <col min="5" max="5" width="9.109375" style="1" customWidth="1"/>
    <col min="6" max="6" width="22.6640625" style="1" customWidth="1"/>
    <col min="7" max="7" width="22.44140625" style="1" customWidth="1"/>
    <col min="8" max="16384" width="9.109375" style="1"/>
  </cols>
  <sheetData>
    <row r="1" spans="1:7" x14ac:dyDescent="0.35">
      <c r="A1" s="159" t="s">
        <v>46</v>
      </c>
      <c r="B1" s="159"/>
      <c r="C1" s="159"/>
      <c r="D1" s="159"/>
      <c r="E1" s="159"/>
      <c r="F1" s="159"/>
      <c r="G1" s="159"/>
    </row>
    <row r="2" spans="1:7" x14ac:dyDescent="0.35">
      <c r="A2" s="159" t="s">
        <v>198</v>
      </c>
      <c r="B2" s="159"/>
      <c r="C2" s="159"/>
      <c r="D2" s="159"/>
      <c r="E2" s="159"/>
      <c r="F2" s="159"/>
      <c r="G2" s="159"/>
    </row>
    <row r="3" spans="1:7" x14ac:dyDescent="0.35">
      <c r="B3" s="1" t="s">
        <v>252</v>
      </c>
      <c r="F3" s="168"/>
    </row>
    <row r="4" spans="1:7" ht="18.75" customHeight="1" x14ac:dyDescent="0.35">
      <c r="A4" s="169" t="s">
        <v>3</v>
      </c>
      <c r="B4" s="169" t="s">
        <v>47</v>
      </c>
      <c r="C4" s="169" t="s">
        <v>15</v>
      </c>
      <c r="D4" s="169" t="s">
        <v>29</v>
      </c>
      <c r="E4" s="169" t="s">
        <v>42</v>
      </c>
      <c r="F4" s="182" t="s">
        <v>36</v>
      </c>
      <c r="G4" s="182"/>
    </row>
    <row r="5" spans="1:7" x14ac:dyDescent="0.35">
      <c r="A5" s="169"/>
      <c r="B5" s="169"/>
      <c r="C5" s="169"/>
      <c r="D5" s="169"/>
      <c r="E5" s="169"/>
      <c r="F5" s="171" t="s">
        <v>7</v>
      </c>
      <c r="G5" s="171" t="s">
        <v>8</v>
      </c>
    </row>
    <row r="6" spans="1:7" x14ac:dyDescent="0.35">
      <c r="A6" s="172">
        <v>1</v>
      </c>
      <c r="B6" s="172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</row>
    <row r="7" spans="1:7" s="24" customFormat="1" ht="17.399999999999999" x14ac:dyDescent="0.3">
      <c r="A7" s="171"/>
      <c r="B7" s="173" t="s">
        <v>136</v>
      </c>
      <c r="C7" s="171"/>
      <c r="D7" s="171"/>
      <c r="E7" s="178"/>
      <c r="F7" s="178">
        <f>+F8+F9</f>
        <v>5166.6666666666661</v>
      </c>
      <c r="G7" s="178">
        <f>+G8+G9</f>
        <v>62000</v>
      </c>
    </row>
    <row r="8" spans="1:7" x14ac:dyDescent="0.35">
      <c r="A8" s="177">
        <v>1</v>
      </c>
      <c r="B8" s="174" t="s">
        <v>137</v>
      </c>
      <c r="C8" s="228" t="s">
        <v>139</v>
      </c>
      <c r="D8" s="177">
        <v>1</v>
      </c>
      <c r="E8" s="183">
        <v>55000</v>
      </c>
      <c r="F8" s="183">
        <f>+E8*D8/12</f>
        <v>4583.333333333333</v>
      </c>
      <c r="G8" s="183">
        <f>+E8*D8</f>
        <v>55000</v>
      </c>
    </row>
    <row r="9" spans="1:7" x14ac:dyDescent="0.35">
      <c r="A9" s="177">
        <v>2</v>
      </c>
      <c r="B9" s="174" t="s">
        <v>138</v>
      </c>
      <c r="C9" s="228" t="s">
        <v>98</v>
      </c>
      <c r="D9" s="177">
        <v>2</v>
      </c>
      <c r="E9" s="183">
        <v>3500</v>
      </c>
      <c r="F9" s="183">
        <f>+E9*D9/12</f>
        <v>583.33333333333337</v>
      </c>
      <c r="G9" s="183">
        <f>+E9*D9</f>
        <v>7000</v>
      </c>
    </row>
    <row r="10" spans="1:7" x14ac:dyDescent="0.35">
      <c r="B10" s="1" t="s">
        <v>257</v>
      </c>
      <c r="D10" s="176"/>
      <c r="E10" s="176"/>
      <c r="F10" s="229"/>
      <c r="G10" s="176"/>
    </row>
    <row r="11" spans="1:7" x14ac:dyDescent="0.35">
      <c r="A11" s="169" t="s">
        <v>3</v>
      </c>
      <c r="B11" s="169" t="s">
        <v>47</v>
      </c>
      <c r="C11" s="169" t="s">
        <v>15</v>
      </c>
      <c r="D11" s="169" t="s">
        <v>29</v>
      </c>
      <c r="E11" s="169" t="s">
        <v>42</v>
      </c>
      <c r="F11" s="182" t="s">
        <v>36</v>
      </c>
      <c r="G11" s="182"/>
    </row>
    <row r="12" spans="1:7" x14ac:dyDescent="0.35">
      <c r="A12" s="169"/>
      <c r="B12" s="169"/>
      <c r="C12" s="169"/>
      <c r="D12" s="169"/>
      <c r="E12" s="169"/>
      <c r="F12" s="171" t="s">
        <v>7</v>
      </c>
      <c r="G12" s="171" t="s">
        <v>8</v>
      </c>
    </row>
    <row r="13" spans="1:7" x14ac:dyDescent="0.35">
      <c r="A13" s="172">
        <v>1</v>
      </c>
      <c r="B13" s="172">
        <v>2</v>
      </c>
      <c r="C13" s="172">
        <v>3</v>
      </c>
      <c r="D13" s="172">
        <v>4</v>
      </c>
      <c r="E13" s="172">
        <v>5</v>
      </c>
      <c r="F13" s="172">
        <v>6</v>
      </c>
      <c r="G13" s="172">
        <v>7</v>
      </c>
    </row>
    <row r="14" spans="1:7" x14ac:dyDescent="0.35">
      <c r="A14" s="171"/>
      <c r="B14" s="173" t="s">
        <v>136</v>
      </c>
      <c r="C14" s="171"/>
      <c r="D14" s="171"/>
      <c r="E14" s="178"/>
      <c r="F14" s="178">
        <f>+F15+F16</f>
        <v>21250</v>
      </c>
      <c r="G14" s="178">
        <f>+G15+G16</f>
        <v>255000</v>
      </c>
    </row>
    <row r="15" spans="1:7" x14ac:dyDescent="0.35">
      <c r="A15" s="177">
        <v>1</v>
      </c>
      <c r="B15" s="174" t="s">
        <v>137</v>
      </c>
      <c r="C15" s="228" t="s">
        <v>139</v>
      </c>
      <c r="D15" s="177">
        <v>4</v>
      </c>
      <c r="E15" s="183">
        <v>55000</v>
      </c>
      <c r="F15" s="183">
        <f>+E15*D15/12</f>
        <v>18333.333333333332</v>
      </c>
      <c r="G15" s="183">
        <f>+E15*D15</f>
        <v>220000</v>
      </c>
    </row>
    <row r="16" spans="1:7" x14ac:dyDescent="0.35">
      <c r="A16" s="177">
        <v>2</v>
      </c>
      <c r="B16" s="174" t="s">
        <v>138</v>
      </c>
      <c r="C16" s="228" t="s">
        <v>98</v>
      </c>
      <c r="D16" s="177">
        <v>10</v>
      </c>
      <c r="E16" s="183">
        <v>3500</v>
      </c>
      <c r="F16" s="183">
        <f>+E16*D16/12</f>
        <v>2916.6666666666665</v>
      </c>
      <c r="G16" s="183">
        <f>+E16*D16</f>
        <v>35000</v>
      </c>
    </row>
  </sheetData>
  <mergeCells count="14">
    <mergeCell ref="F4:G4"/>
    <mergeCell ref="A1:G1"/>
    <mergeCell ref="A2:G2"/>
    <mergeCell ref="A4:A5"/>
    <mergeCell ref="B4:B5"/>
    <mergeCell ref="C4:C5"/>
    <mergeCell ref="D4:D5"/>
    <mergeCell ref="E4:E5"/>
    <mergeCell ref="F11:G11"/>
    <mergeCell ref="A11:A12"/>
    <mergeCell ref="B11:B12"/>
    <mergeCell ref="C11:C12"/>
    <mergeCell ref="D11:D12"/>
    <mergeCell ref="E11:E12"/>
  </mergeCells>
  <pageMargins left="1.36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topLeftCell="A4" zoomScaleNormal="100" workbookViewId="0">
      <selection activeCell="L13" sqref="L13"/>
    </sheetView>
  </sheetViews>
  <sheetFormatPr defaultColWidth="9.109375" defaultRowHeight="18" x14ac:dyDescent="0.35"/>
  <cols>
    <col min="1" max="1" width="7.21875" style="1" customWidth="1"/>
    <col min="2" max="2" width="36.5546875" style="1" customWidth="1"/>
    <col min="3" max="3" width="7.21875" style="176" customWidth="1"/>
    <col min="4" max="4" width="11.44140625" style="176" customWidth="1"/>
    <col min="5" max="5" width="14" style="176" customWidth="1"/>
    <col min="6" max="6" width="14.88671875" style="176" customWidth="1"/>
    <col min="7" max="7" width="13.77734375" style="176" customWidth="1"/>
    <col min="8" max="8" width="13.21875" style="176" customWidth="1"/>
    <col min="9" max="9" width="9.109375" style="1"/>
    <col min="10" max="10" width="14" style="1" customWidth="1"/>
    <col min="11" max="16384" width="9.109375" style="1"/>
  </cols>
  <sheetData>
    <row r="1" spans="1:8" x14ac:dyDescent="0.35">
      <c r="A1" s="159" t="s">
        <v>48</v>
      </c>
      <c r="B1" s="159"/>
      <c r="C1" s="159"/>
      <c r="D1" s="159"/>
      <c r="E1" s="159"/>
      <c r="F1" s="159"/>
      <c r="G1" s="159"/>
      <c r="H1" s="159"/>
    </row>
    <row r="2" spans="1:8" x14ac:dyDescent="0.35">
      <c r="A2" s="159" t="s">
        <v>213</v>
      </c>
      <c r="B2" s="159"/>
      <c r="C2" s="159"/>
      <c r="D2" s="159"/>
      <c r="E2" s="159"/>
      <c r="F2" s="159"/>
      <c r="G2" s="159"/>
      <c r="H2" s="159"/>
    </row>
    <row r="3" spans="1:8" x14ac:dyDescent="0.35">
      <c r="B3" s="1" t="s">
        <v>252</v>
      </c>
    </row>
    <row r="4" spans="1:8" x14ac:dyDescent="0.35">
      <c r="A4" s="169" t="s">
        <v>3</v>
      </c>
      <c r="B4" s="169" t="s">
        <v>50</v>
      </c>
      <c r="C4" s="169" t="s">
        <v>29</v>
      </c>
      <c r="D4" s="169" t="s">
        <v>35</v>
      </c>
      <c r="E4" s="169" t="s">
        <v>104</v>
      </c>
      <c r="F4" s="169" t="s">
        <v>33</v>
      </c>
      <c r="G4" s="182" t="s">
        <v>36</v>
      </c>
      <c r="H4" s="182"/>
    </row>
    <row r="5" spans="1:8" ht="38.4" customHeight="1" x14ac:dyDescent="0.35">
      <c r="A5" s="169"/>
      <c r="B5" s="169"/>
      <c r="C5" s="169"/>
      <c r="D5" s="169"/>
      <c r="E5" s="169"/>
      <c r="F5" s="169"/>
      <c r="G5" s="171" t="s">
        <v>7</v>
      </c>
      <c r="H5" s="171" t="s">
        <v>8</v>
      </c>
    </row>
    <row r="6" spans="1:8" x14ac:dyDescent="0.35">
      <c r="A6" s="172">
        <v>1</v>
      </c>
      <c r="B6" s="172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  <c r="H6" s="172">
        <v>8</v>
      </c>
    </row>
    <row r="7" spans="1:8" x14ac:dyDescent="0.35">
      <c r="A7" s="172"/>
      <c r="B7" s="171" t="s">
        <v>199</v>
      </c>
      <c r="C7" s="171"/>
      <c r="D7" s="171"/>
      <c r="E7" s="171"/>
      <c r="F7" s="178"/>
      <c r="G7" s="178">
        <f t="shared" ref="G7:H7" si="0">+SUM(G8:G12)</f>
        <v>409859.39999999997</v>
      </c>
      <c r="H7" s="178">
        <f t="shared" si="0"/>
        <v>4918312.7999999989</v>
      </c>
    </row>
    <row r="8" spans="1:8" x14ac:dyDescent="0.35">
      <c r="A8" s="177">
        <v>1</v>
      </c>
      <c r="B8" s="179" t="s">
        <v>99</v>
      </c>
      <c r="C8" s="177">
        <v>1</v>
      </c>
      <c r="D8" s="177">
        <v>0.3</v>
      </c>
      <c r="E8" s="177">
        <v>0.5</v>
      </c>
      <c r="F8" s="183">
        <f>+'PL1'!F10</f>
        <v>2027</v>
      </c>
      <c r="G8" s="183">
        <f>+C8*D8*E8*F8*30</f>
        <v>9121.5</v>
      </c>
      <c r="H8" s="183">
        <f>+G8*12</f>
        <v>109458</v>
      </c>
    </row>
    <row r="9" spans="1:8" x14ac:dyDescent="0.35">
      <c r="A9" s="177">
        <v>2</v>
      </c>
      <c r="B9" s="179" t="s">
        <v>100</v>
      </c>
      <c r="C9" s="177">
        <v>1</v>
      </c>
      <c r="D9" s="177">
        <v>0.25</v>
      </c>
      <c r="E9" s="181">
        <v>8</v>
      </c>
      <c r="F9" s="183">
        <f>+F8</f>
        <v>2027</v>
      </c>
      <c r="G9" s="183">
        <f>+C9*D9*E9*F9*30</f>
        <v>121620</v>
      </c>
      <c r="H9" s="183">
        <f t="shared" ref="H9:H12" si="1">+G9*12</f>
        <v>1459440</v>
      </c>
    </row>
    <row r="10" spans="1:8" x14ac:dyDescent="0.35">
      <c r="A10" s="177">
        <v>3</v>
      </c>
      <c r="B10" s="179" t="s">
        <v>101</v>
      </c>
      <c r="C10" s="177">
        <v>1</v>
      </c>
      <c r="D10" s="177">
        <v>1</v>
      </c>
      <c r="E10" s="181">
        <f>45/60</f>
        <v>0.75</v>
      </c>
      <c r="F10" s="183">
        <f>+F9</f>
        <v>2027</v>
      </c>
      <c r="G10" s="183">
        <f t="shared" ref="G10:G12" si="2">+C10*D10*E10*F10*30</f>
        <v>45607.5</v>
      </c>
      <c r="H10" s="183">
        <f t="shared" si="1"/>
        <v>547290</v>
      </c>
    </row>
    <row r="11" spans="1:8" x14ac:dyDescent="0.35">
      <c r="A11" s="177">
        <v>4</v>
      </c>
      <c r="B11" s="180" t="s">
        <v>102</v>
      </c>
      <c r="C11" s="177">
        <v>1</v>
      </c>
      <c r="D11" s="177">
        <v>4.4999999999999998E-2</v>
      </c>
      <c r="E11" s="177">
        <v>12</v>
      </c>
      <c r="F11" s="183">
        <f>+F8</f>
        <v>2027</v>
      </c>
      <c r="G11" s="183">
        <f t="shared" si="2"/>
        <v>32837.4</v>
      </c>
      <c r="H11" s="183">
        <f t="shared" si="1"/>
        <v>394048.80000000005</v>
      </c>
    </row>
    <row r="12" spans="1:8" x14ac:dyDescent="0.35">
      <c r="A12" s="177">
        <v>5</v>
      </c>
      <c r="B12" s="180" t="s">
        <v>103</v>
      </c>
      <c r="C12" s="177">
        <v>1</v>
      </c>
      <c r="D12" s="177">
        <v>0.82499999999999996</v>
      </c>
      <c r="E12" s="177">
        <v>4</v>
      </c>
      <c r="F12" s="183">
        <f>+F8</f>
        <v>2027</v>
      </c>
      <c r="G12" s="183">
        <f t="shared" si="2"/>
        <v>200672.99999999997</v>
      </c>
      <c r="H12" s="183">
        <f t="shared" si="1"/>
        <v>2408075.9999999995</v>
      </c>
    </row>
    <row r="13" spans="1:8" x14ac:dyDescent="0.35">
      <c r="B13" s="1" t="s">
        <v>257</v>
      </c>
    </row>
    <row r="14" spans="1:8" x14ac:dyDescent="0.35">
      <c r="A14" s="169" t="s">
        <v>3</v>
      </c>
      <c r="B14" s="169" t="s">
        <v>50</v>
      </c>
      <c r="C14" s="169" t="s">
        <v>29</v>
      </c>
      <c r="D14" s="169" t="s">
        <v>35</v>
      </c>
      <c r="E14" s="169" t="s">
        <v>104</v>
      </c>
      <c r="F14" s="169" t="s">
        <v>33</v>
      </c>
      <c r="G14" s="182" t="s">
        <v>36</v>
      </c>
      <c r="H14" s="182"/>
    </row>
    <row r="15" spans="1:8" ht="55.8" customHeight="1" x14ac:dyDescent="0.35">
      <c r="A15" s="169"/>
      <c r="B15" s="169"/>
      <c r="C15" s="169"/>
      <c r="D15" s="169"/>
      <c r="E15" s="169"/>
      <c r="F15" s="169"/>
      <c r="G15" s="171" t="s">
        <v>7</v>
      </c>
      <c r="H15" s="171" t="s">
        <v>8</v>
      </c>
    </row>
    <row r="16" spans="1:8" x14ac:dyDescent="0.35">
      <c r="A16" s="172">
        <v>1</v>
      </c>
      <c r="B16" s="172">
        <v>2</v>
      </c>
      <c r="C16" s="172">
        <v>3</v>
      </c>
      <c r="D16" s="172">
        <v>4</v>
      </c>
      <c r="E16" s="172">
        <v>5</v>
      </c>
      <c r="F16" s="172">
        <v>6</v>
      </c>
      <c r="G16" s="172">
        <v>7</v>
      </c>
      <c r="H16" s="172">
        <v>8</v>
      </c>
    </row>
    <row r="17" spans="1:8" x14ac:dyDescent="0.35">
      <c r="A17" s="172"/>
      <c r="B17" s="171" t="s">
        <v>199</v>
      </c>
      <c r="C17" s="171"/>
      <c r="D17" s="171"/>
      <c r="E17" s="171"/>
      <c r="F17" s="178"/>
      <c r="G17" s="178">
        <f t="shared" ref="G17:H17" si="3">+SUM(G18:G22)</f>
        <v>1639437.5999999999</v>
      </c>
      <c r="H17" s="178">
        <f t="shared" si="3"/>
        <v>19673251.199999996</v>
      </c>
    </row>
    <row r="18" spans="1:8" x14ac:dyDescent="0.35">
      <c r="A18" s="177">
        <v>1</v>
      </c>
      <c r="B18" s="179" t="s">
        <v>99</v>
      </c>
      <c r="C18" s="177">
        <v>4</v>
      </c>
      <c r="D18" s="177">
        <v>0.3</v>
      </c>
      <c r="E18" s="177">
        <v>0.5</v>
      </c>
      <c r="F18" s="183">
        <v>2027</v>
      </c>
      <c r="G18" s="183">
        <f>+C18*D18*E18*F18*30</f>
        <v>36486</v>
      </c>
      <c r="H18" s="183">
        <f>+G18*12</f>
        <v>437832</v>
      </c>
    </row>
    <row r="19" spans="1:8" x14ac:dyDescent="0.35">
      <c r="A19" s="177">
        <v>2</v>
      </c>
      <c r="B19" s="179" t="s">
        <v>100</v>
      </c>
      <c r="C19" s="177">
        <v>4</v>
      </c>
      <c r="D19" s="177">
        <v>0.25</v>
      </c>
      <c r="E19" s="181">
        <v>8</v>
      </c>
      <c r="F19" s="183">
        <f>+F18</f>
        <v>2027</v>
      </c>
      <c r="G19" s="183">
        <f>+C19*D19*E19*F19*30</f>
        <v>486480</v>
      </c>
      <c r="H19" s="183">
        <f t="shared" ref="H19:H22" si="4">+G19*12</f>
        <v>5837760</v>
      </c>
    </row>
    <row r="20" spans="1:8" x14ac:dyDescent="0.35">
      <c r="A20" s="177">
        <v>3</v>
      </c>
      <c r="B20" s="179" t="s">
        <v>101</v>
      </c>
      <c r="C20" s="177">
        <v>4</v>
      </c>
      <c r="D20" s="177">
        <v>1</v>
      </c>
      <c r="E20" s="181">
        <f>45/60</f>
        <v>0.75</v>
      </c>
      <c r="F20" s="183">
        <f>+F19</f>
        <v>2027</v>
      </c>
      <c r="G20" s="183">
        <f t="shared" ref="G20:G22" si="5">+C20*D20*E20*F20*30</f>
        <v>182430</v>
      </c>
      <c r="H20" s="183">
        <f t="shared" si="4"/>
        <v>2189160</v>
      </c>
    </row>
    <row r="21" spans="1:8" x14ac:dyDescent="0.35">
      <c r="A21" s="177">
        <v>4</v>
      </c>
      <c r="B21" s="180" t="s">
        <v>102</v>
      </c>
      <c r="C21" s="177">
        <v>4</v>
      </c>
      <c r="D21" s="177">
        <v>4.4999999999999998E-2</v>
      </c>
      <c r="E21" s="177">
        <v>12</v>
      </c>
      <c r="F21" s="183">
        <f>+F18</f>
        <v>2027</v>
      </c>
      <c r="G21" s="183">
        <f t="shared" si="5"/>
        <v>131349.6</v>
      </c>
      <c r="H21" s="183">
        <f t="shared" si="4"/>
        <v>1576195.2000000002</v>
      </c>
    </row>
    <row r="22" spans="1:8" x14ac:dyDescent="0.35">
      <c r="A22" s="177">
        <v>5</v>
      </c>
      <c r="B22" s="180" t="s">
        <v>103</v>
      </c>
      <c r="C22" s="177">
        <v>4</v>
      </c>
      <c r="D22" s="177">
        <v>0.82499999999999996</v>
      </c>
      <c r="E22" s="177">
        <v>4</v>
      </c>
      <c r="F22" s="183">
        <f>+F18</f>
        <v>2027</v>
      </c>
      <c r="G22" s="183">
        <f t="shared" si="5"/>
        <v>802691.99999999988</v>
      </c>
      <c r="H22" s="183">
        <f t="shared" si="4"/>
        <v>9632303.9999999981</v>
      </c>
    </row>
  </sheetData>
  <mergeCells count="16">
    <mergeCell ref="A1:H1"/>
    <mergeCell ref="G4:H4"/>
    <mergeCell ref="A2:H2"/>
    <mergeCell ref="A4:A5"/>
    <mergeCell ref="B4:B5"/>
    <mergeCell ref="C4:C5"/>
    <mergeCell ref="D4:D5"/>
    <mergeCell ref="E4:E5"/>
    <mergeCell ref="F4:F5"/>
    <mergeCell ref="F14:F15"/>
    <mergeCell ref="G14:H14"/>
    <mergeCell ref="A14:A15"/>
    <mergeCell ref="B14:B15"/>
    <mergeCell ref="C14:C15"/>
    <mergeCell ref="D14:D15"/>
    <mergeCell ref="E14:E15"/>
  </mergeCells>
  <pageMargins left="1.36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zoomScaleNormal="100" workbookViewId="0">
      <selection activeCell="K17" sqref="K17"/>
    </sheetView>
  </sheetViews>
  <sheetFormatPr defaultColWidth="9.109375" defaultRowHeight="18" x14ac:dyDescent="0.35"/>
  <cols>
    <col min="1" max="1" width="5.109375" style="175" bestFit="1" customWidth="1"/>
    <col min="2" max="2" width="27.33203125" style="1" customWidth="1"/>
    <col min="3" max="3" width="9" style="1" customWidth="1"/>
    <col min="4" max="4" width="11.5546875" style="1" customWidth="1"/>
    <col min="5" max="5" width="12.5546875" style="1" customWidth="1"/>
    <col min="6" max="6" width="16" style="1" customWidth="1"/>
    <col min="7" max="7" width="16.44140625" style="1" customWidth="1"/>
    <col min="8" max="8" width="15.6640625" style="1" customWidth="1"/>
    <col min="9" max="10" width="9.109375" style="1"/>
    <col min="11" max="11" width="13.88671875" style="1" bestFit="1" customWidth="1"/>
    <col min="12" max="12" width="12" style="1" customWidth="1"/>
    <col min="13" max="16384" width="9.109375" style="1"/>
  </cols>
  <sheetData>
    <row r="1" spans="1:8" x14ac:dyDescent="0.35">
      <c r="A1" s="159" t="s">
        <v>49</v>
      </c>
      <c r="B1" s="159"/>
      <c r="C1" s="159"/>
      <c r="D1" s="159"/>
      <c r="E1" s="159"/>
      <c r="F1" s="159"/>
      <c r="G1" s="159"/>
      <c r="H1" s="159"/>
    </row>
    <row r="2" spans="1:8" x14ac:dyDescent="0.35">
      <c r="A2" s="159" t="s">
        <v>200</v>
      </c>
      <c r="B2" s="159"/>
      <c r="C2" s="159"/>
      <c r="D2" s="159"/>
      <c r="E2" s="159"/>
      <c r="F2" s="159"/>
      <c r="G2" s="159"/>
      <c r="H2" s="159"/>
    </row>
    <row r="3" spans="1:8" x14ac:dyDescent="0.35">
      <c r="B3" s="1" t="s">
        <v>252</v>
      </c>
    </row>
    <row r="4" spans="1:8" x14ac:dyDescent="0.35">
      <c r="A4" s="169" t="s">
        <v>3</v>
      </c>
      <c r="B4" s="169" t="s">
        <v>50</v>
      </c>
      <c r="C4" s="169" t="s">
        <v>29</v>
      </c>
      <c r="D4" s="169" t="s">
        <v>35</v>
      </c>
      <c r="E4" s="169" t="s">
        <v>34</v>
      </c>
      <c r="F4" s="169" t="s">
        <v>33</v>
      </c>
      <c r="G4" s="170" t="s">
        <v>36</v>
      </c>
      <c r="H4" s="170"/>
    </row>
    <row r="5" spans="1:8" ht="32.4" customHeight="1" x14ac:dyDescent="0.35">
      <c r="A5" s="169"/>
      <c r="B5" s="169"/>
      <c r="C5" s="169"/>
      <c r="D5" s="169"/>
      <c r="E5" s="169"/>
      <c r="F5" s="169"/>
      <c r="G5" s="171" t="s">
        <v>7</v>
      </c>
      <c r="H5" s="171" t="s">
        <v>8</v>
      </c>
    </row>
    <row r="6" spans="1:8" x14ac:dyDescent="0.35">
      <c r="A6" s="172">
        <v>1</v>
      </c>
      <c r="B6" s="172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  <c r="H6" s="172">
        <v>8</v>
      </c>
    </row>
    <row r="7" spans="1:8" s="24" customFormat="1" x14ac:dyDescent="0.3">
      <c r="A7" s="184"/>
      <c r="B7" s="185" t="s">
        <v>199</v>
      </c>
      <c r="C7" s="185"/>
      <c r="D7" s="185"/>
      <c r="E7" s="185"/>
      <c r="F7" s="185"/>
      <c r="G7" s="202">
        <f>+SUM(G8:G11)</f>
        <v>143475.11400000003</v>
      </c>
      <c r="H7" s="202">
        <f>+SUM(H8:H11)</f>
        <v>1721701.3680000005</v>
      </c>
    </row>
    <row r="8" spans="1:8" x14ac:dyDescent="0.35">
      <c r="A8" s="195">
        <v>1</v>
      </c>
      <c r="B8" s="186" t="s">
        <v>105</v>
      </c>
      <c r="C8" s="195">
        <v>1</v>
      </c>
      <c r="D8" s="196">
        <v>1.7000000000000001E-2</v>
      </c>
      <c r="E8" s="195">
        <v>24</v>
      </c>
      <c r="F8" s="198">
        <f>+'PL1'!F10</f>
        <v>2027</v>
      </c>
      <c r="G8" s="203">
        <f>+C8*D8*E8*F8*30</f>
        <v>24810.480000000003</v>
      </c>
      <c r="H8" s="203">
        <f>+G8*12</f>
        <v>297725.76</v>
      </c>
    </row>
    <row r="9" spans="1:8" x14ac:dyDescent="0.35">
      <c r="A9" s="195">
        <v>2</v>
      </c>
      <c r="B9" s="186" t="s">
        <v>106</v>
      </c>
      <c r="C9" s="195">
        <v>8</v>
      </c>
      <c r="D9" s="196">
        <f>1.2/1000</f>
        <v>1.1999999999999999E-3</v>
      </c>
      <c r="E9" s="197">
        <v>24</v>
      </c>
      <c r="F9" s="198">
        <f>+F8</f>
        <v>2027</v>
      </c>
      <c r="G9" s="203">
        <f>+C9*D9*E9*F9*30</f>
        <v>14010.624</v>
      </c>
      <c r="H9" s="203">
        <f t="shared" ref="H9:H11" si="0">+G9*12</f>
        <v>168127.48800000001</v>
      </c>
    </row>
    <row r="10" spans="1:8" x14ac:dyDescent="0.35">
      <c r="A10" s="195">
        <v>3</v>
      </c>
      <c r="B10" s="187" t="s">
        <v>107</v>
      </c>
      <c r="C10" s="195">
        <v>1</v>
      </c>
      <c r="D10" s="196">
        <v>6.9000000000000006E-2</v>
      </c>
      <c r="E10" s="197">
        <v>24</v>
      </c>
      <c r="F10" s="198">
        <f>+F8</f>
        <v>2027</v>
      </c>
      <c r="G10" s="203">
        <f>+C10*D10*E10*F10*30</f>
        <v>100701.36000000002</v>
      </c>
      <c r="H10" s="203">
        <f t="shared" si="0"/>
        <v>1208416.3200000003</v>
      </c>
    </row>
    <row r="11" spans="1:8" x14ac:dyDescent="0.35">
      <c r="A11" s="199">
        <v>4</v>
      </c>
      <c r="B11" s="188" t="s">
        <v>108</v>
      </c>
      <c r="C11" s="199">
        <v>1</v>
      </c>
      <c r="D11" s="200">
        <v>0.65</v>
      </c>
      <c r="E11" s="199">
        <v>0.1</v>
      </c>
      <c r="F11" s="209">
        <f>+F8</f>
        <v>2027</v>
      </c>
      <c r="G11" s="204">
        <f t="shared" ref="G11" si="1">+C11*D11*E11*F11*30</f>
        <v>3952.6499999999996</v>
      </c>
      <c r="H11" s="204">
        <f t="shared" si="0"/>
        <v>47431.799999999996</v>
      </c>
    </row>
    <row r="12" spans="1:8" x14ac:dyDescent="0.35">
      <c r="B12" s="1" t="s">
        <v>257</v>
      </c>
      <c r="C12" s="175"/>
      <c r="D12" s="201"/>
      <c r="E12" s="175"/>
      <c r="F12" s="210"/>
      <c r="G12" s="205"/>
      <c r="H12" s="205"/>
    </row>
    <row r="13" spans="1:8" x14ac:dyDescent="0.35">
      <c r="A13" s="169" t="s">
        <v>3</v>
      </c>
      <c r="B13" s="169" t="s">
        <v>50</v>
      </c>
      <c r="C13" s="169" t="s">
        <v>29</v>
      </c>
      <c r="D13" s="192" t="s">
        <v>35</v>
      </c>
      <c r="E13" s="169" t="s">
        <v>34</v>
      </c>
      <c r="F13" s="189" t="s">
        <v>33</v>
      </c>
      <c r="G13" s="206" t="s">
        <v>36</v>
      </c>
      <c r="H13" s="206"/>
    </row>
    <row r="14" spans="1:8" ht="39.6" customHeight="1" x14ac:dyDescent="0.35">
      <c r="A14" s="169"/>
      <c r="B14" s="169"/>
      <c r="C14" s="169"/>
      <c r="D14" s="192"/>
      <c r="E14" s="169"/>
      <c r="F14" s="189"/>
      <c r="G14" s="207" t="s">
        <v>7</v>
      </c>
      <c r="H14" s="207" t="s">
        <v>8</v>
      </c>
    </row>
    <row r="15" spans="1:8" x14ac:dyDescent="0.35">
      <c r="A15" s="172">
        <v>1</v>
      </c>
      <c r="B15" s="172">
        <v>2</v>
      </c>
      <c r="C15" s="172">
        <v>3</v>
      </c>
      <c r="D15" s="193">
        <v>4</v>
      </c>
      <c r="E15" s="172">
        <v>5</v>
      </c>
      <c r="F15" s="190">
        <v>6</v>
      </c>
      <c r="G15" s="208">
        <v>7</v>
      </c>
      <c r="H15" s="208">
        <v>8</v>
      </c>
    </row>
    <row r="16" spans="1:8" x14ac:dyDescent="0.35">
      <c r="A16" s="184"/>
      <c r="B16" s="185" t="s">
        <v>199</v>
      </c>
      <c r="C16" s="185"/>
      <c r="D16" s="194"/>
      <c r="E16" s="185"/>
      <c r="F16" s="191"/>
      <c r="G16" s="202">
        <f>+SUM(G17:G20)</f>
        <v>573900.45600000012</v>
      </c>
      <c r="H16" s="202">
        <f>+SUM(H17:H20)</f>
        <v>6886805.4720000019</v>
      </c>
    </row>
    <row r="17" spans="1:8" x14ac:dyDescent="0.35">
      <c r="A17" s="195">
        <v>1</v>
      </c>
      <c r="B17" s="186" t="s">
        <v>105</v>
      </c>
      <c r="C17" s="195">
        <v>4</v>
      </c>
      <c r="D17" s="196">
        <v>1.7000000000000001E-2</v>
      </c>
      <c r="E17" s="195">
        <v>24</v>
      </c>
      <c r="F17" s="198">
        <v>2027</v>
      </c>
      <c r="G17" s="203">
        <f>+C17*D17*E17*F17*30</f>
        <v>99241.920000000013</v>
      </c>
      <c r="H17" s="203">
        <f>+G17*12</f>
        <v>1190903.04</v>
      </c>
    </row>
    <row r="18" spans="1:8" x14ac:dyDescent="0.35">
      <c r="A18" s="195">
        <v>2</v>
      </c>
      <c r="B18" s="186" t="s">
        <v>106</v>
      </c>
      <c r="C18" s="195">
        <v>32</v>
      </c>
      <c r="D18" s="196">
        <f>1.2/1000</f>
        <v>1.1999999999999999E-3</v>
      </c>
      <c r="E18" s="197">
        <v>24</v>
      </c>
      <c r="F18" s="198">
        <f>+F17</f>
        <v>2027</v>
      </c>
      <c r="G18" s="203">
        <f>+C18*D18*E18*F18*30</f>
        <v>56042.495999999999</v>
      </c>
      <c r="H18" s="203">
        <f t="shared" ref="H18:H20" si="2">+G18*12</f>
        <v>672509.95200000005</v>
      </c>
    </row>
    <row r="19" spans="1:8" x14ac:dyDescent="0.35">
      <c r="A19" s="195">
        <v>3</v>
      </c>
      <c r="B19" s="187" t="s">
        <v>107</v>
      </c>
      <c r="C19" s="195">
        <v>4</v>
      </c>
      <c r="D19" s="196">
        <v>6.9000000000000006E-2</v>
      </c>
      <c r="E19" s="197">
        <v>24</v>
      </c>
      <c r="F19" s="198">
        <f>+F17</f>
        <v>2027</v>
      </c>
      <c r="G19" s="203">
        <f>+C19*D19*E19*F19*30</f>
        <v>402805.44000000006</v>
      </c>
      <c r="H19" s="203">
        <f t="shared" si="2"/>
        <v>4833665.2800000012</v>
      </c>
    </row>
    <row r="20" spans="1:8" x14ac:dyDescent="0.35">
      <c r="A20" s="199">
        <v>4</v>
      </c>
      <c r="B20" s="188" t="s">
        <v>108</v>
      </c>
      <c r="C20" s="199">
        <v>4</v>
      </c>
      <c r="D20" s="200">
        <v>0.65</v>
      </c>
      <c r="E20" s="199">
        <v>0.1</v>
      </c>
      <c r="F20" s="209">
        <v>2027</v>
      </c>
      <c r="G20" s="204">
        <f t="shared" ref="G20" si="3">+C20*D20*E20*F20*30</f>
        <v>15810.599999999999</v>
      </c>
      <c r="H20" s="204">
        <f t="shared" si="2"/>
        <v>189727.19999999998</v>
      </c>
    </row>
  </sheetData>
  <mergeCells count="16">
    <mergeCell ref="A1:H1"/>
    <mergeCell ref="A2:H2"/>
    <mergeCell ref="A4:A5"/>
    <mergeCell ref="B4:B5"/>
    <mergeCell ref="C4:C5"/>
    <mergeCell ref="D4:D5"/>
    <mergeCell ref="E4:E5"/>
    <mergeCell ref="F4:F5"/>
    <mergeCell ref="G4:H4"/>
    <mergeCell ref="F13:F14"/>
    <mergeCell ref="G13:H13"/>
    <mergeCell ref="A13:A14"/>
    <mergeCell ref="B13:B14"/>
    <mergeCell ref="C13:C14"/>
    <mergeCell ref="D13:D14"/>
    <mergeCell ref="E13:E14"/>
  </mergeCells>
  <pageMargins left="1.36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Dự toán</vt:lpstr>
      <vt:lpstr>PL1</vt:lpstr>
      <vt:lpstr>PL2</vt:lpstr>
      <vt:lpstr>PL3</vt:lpstr>
      <vt:lpstr>PL4</vt:lpstr>
      <vt:lpstr>PL5</vt:lpstr>
      <vt:lpstr>PL6</vt:lpstr>
      <vt:lpstr>PL7</vt:lpstr>
      <vt:lpstr>PL8</vt:lpstr>
      <vt:lpstr>PL9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2024-09-16T01:35:37Z</dcterms:modified>
</cp:coreProperties>
</file>