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filterPrivacy="1"/>
  <xr:revisionPtr revIDLastSave="0" documentId="13_ncr:1_{5E3EB770-2981-41ED-A4F3-701A1064AE11}" xr6:coauthVersionLast="45" xr6:coauthVersionMax="45" xr10:uidLastSave="{00000000-0000-0000-0000-000000000000}"/>
  <bookViews>
    <workbookView xWindow="-108" yWindow="-108" windowWidth="23256" windowHeight="12576" activeTab="9" xr2:uid="{00000000-000D-0000-FFFF-FFFF00000000}"/>
  </bookViews>
  <sheets>
    <sheet name="Dự toán" sheetId="1" r:id="rId1"/>
    <sheet name="PL1" sheetId="11" r:id="rId2"/>
    <sheet name="PL2" sheetId="2" r:id="rId3"/>
    <sheet name="PL3" sheetId="3" r:id="rId4"/>
    <sheet name="PL4" sheetId="4" r:id="rId5"/>
    <sheet name="PL5" sheetId="5" r:id="rId6"/>
    <sheet name="PL6" sheetId="6" r:id="rId7"/>
    <sheet name="PL7" sheetId="7" r:id="rId8"/>
    <sheet name="PL8" sheetId="8" r:id="rId9"/>
    <sheet name="PL9"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1" i="1" l="1"/>
  <c r="E31" i="1"/>
  <c r="C28" i="4"/>
  <c r="C27" i="4"/>
  <c r="C26" i="4"/>
  <c r="C25" i="4"/>
  <c r="C24" i="4"/>
  <c r="C23" i="4"/>
  <c r="C21" i="4"/>
  <c r="D28" i="4"/>
  <c r="E27" i="4"/>
  <c r="F25" i="4"/>
  <c r="D24" i="4"/>
  <c r="D27" i="4" s="1"/>
  <c r="E23" i="4"/>
  <c r="E24" i="4" s="1"/>
  <c r="E21" i="4"/>
  <c r="D15" i="4"/>
  <c r="E14" i="4"/>
  <c r="F12" i="4"/>
  <c r="C12" i="4"/>
  <c r="D11" i="4"/>
  <c r="D14" i="4" s="1"/>
  <c r="E10" i="4"/>
  <c r="E11" i="4" s="1"/>
  <c r="G8" i="4"/>
  <c r="E8" i="4"/>
  <c r="G17" i="2"/>
  <c r="G16" i="2"/>
  <c r="G10" i="2"/>
  <c r="G11" i="2"/>
  <c r="C11" i="2"/>
  <c r="I10" i="2"/>
  <c r="F11" i="1"/>
  <c r="E11" i="1"/>
  <c r="H8" i="11"/>
  <c r="G8" i="11"/>
  <c r="F18" i="11"/>
  <c r="G18" i="11" s="1"/>
  <c r="F12" i="11"/>
  <c r="G12" i="11" s="1"/>
  <c r="G21" i="4" l="1"/>
  <c r="H21" i="4" s="1"/>
  <c r="D25" i="4"/>
  <c r="G25" i="4"/>
  <c r="H25" i="4" s="1"/>
  <c r="D12" i="4"/>
  <c r="G12" i="4"/>
  <c r="H12" i="4" s="1"/>
  <c r="H8" i="4"/>
  <c r="K10" i="2"/>
  <c r="I11" i="2"/>
  <c r="J10" i="2"/>
  <c r="H18" i="11"/>
  <c r="F19" i="11"/>
  <c r="G19" i="11" s="1"/>
  <c r="H19" i="11" s="1"/>
  <c r="F13" i="11"/>
  <c r="G13" i="11" s="1"/>
  <c r="H13" i="11" s="1"/>
  <c r="H12" i="11"/>
  <c r="G23" i="4" l="1"/>
  <c r="G10" i="4"/>
  <c r="J11" i="2"/>
  <c r="K11" i="2"/>
  <c r="H14" i="11"/>
  <c r="H11" i="1" s="1"/>
  <c r="G14" i="11"/>
  <c r="G11" i="1" s="1"/>
  <c r="H23" i="4" l="1"/>
  <c r="G24" i="4"/>
  <c r="H24" i="4" s="1"/>
  <c r="G11" i="4"/>
  <c r="H11" i="4" s="1"/>
  <c r="H10" i="4"/>
  <c r="G22" i="4" l="1"/>
  <c r="G26" i="4"/>
  <c r="H26" i="4" s="1"/>
  <c r="G9" i="4"/>
  <c r="G13" i="4"/>
  <c r="H13" i="4" s="1"/>
  <c r="H22" i="4" l="1"/>
  <c r="G27" i="4"/>
  <c r="H27" i="4" s="1"/>
  <c r="G28" i="4"/>
  <c r="H28" i="4" s="1"/>
  <c r="H9" i="4"/>
  <c r="G14" i="4"/>
  <c r="H14" i="4" s="1"/>
  <c r="G15" i="4"/>
  <c r="H15" i="4" s="1"/>
  <c r="G20" i="4" l="1"/>
  <c r="H20" i="4"/>
  <c r="H7" i="4"/>
  <c r="G7" i="4"/>
  <c r="G26" i="1" l="1"/>
  <c r="E26" i="1"/>
  <c r="D18" i="8"/>
  <c r="G20" i="8"/>
  <c r="H20" i="8" s="1"/>
  <c r="E20" i="7"/>
  <c r="F22" i="7"/>
  <c r="G22" i="7" s="1"/>
  <c r="H22" i="7" s="1"/>
  <c r="H23" i="1"/>
  <c r="G23" i="1"/>
  <c r="F23" i="1"/>
  <c r="E23" i="1"/>
  <c r="G16" i="6"/>
  <c r="F16" i="6"/>
  <c r="G15" i="6"/>
  <c r="G14" i="6" s="1"/>
  <c r="F15" i="6"/>
  <c r="F14" i="6" s="1"/>
  <c r="H21" i="1"/>
  <c r="G21" i="1"/>
  <c r="F21" i="1"/>
  <c r="E21" i="1"/>
  <c r="H20" i="1"/>
  <c r="G20" i="1"/>
  <c r="F20" i="1"/>
  <c r="E20" i="1"/>
  <c r="E18" i="1"/>
  <c r="G18" i="1"/>
  <c r="F26" i="5"/>
  <c r="I26" i="5" s="1"/>
  <c r="E25" i="5"/>
  <c r="F25" i="5" s="1"/>
  <c r="I25" i="5" s="1"/>
  <c r="F24" i="5"/>
  <c r="I24" i="5" s="1"/>
  <c r="F23" i="5"/>
  <c r="I23" i="5" s="1"/>
  <c r="E22" i="5"/>
  <c r="F22" i="5" s="1"/>
  <c r="E21" i="5"/>
  <c r="F21" i="5" s="1"/>
  <c r="I19" i="5"/>
  <c r="H19" i="5"/>
  <c r="F18" i="5"/>
  <c r="I18" i="5" s="1"/>
  <c r="E17" i="5"/>
  <c r="F17" i="5" s="1"/>
  <c r="F16" i="5"/>
  <c r="I16" i="5" s="1"/>
  <c r="I15" i="5"/>
  <c r="H15" i="5"/>
  <c r="F14" i="5"/>
  <c r="I14" i="5" s="1"/>
  <c r="F13" i="5"/>
  <c r="I13" i="5" s="1"/>
  <c r="F12" i="5"/>
  <c r="I12" i="5" s="1"/>
  <c r="I11" i="5"/>
  <c r="H11" i="5"/>
  <c r="F11" i="5"/>
  <c r="F10" i="5"/>
  <c r="H10" i="5" s="1"/>
  <c r="H9" i="5"/>
  <c r="F9" i="5"/>
  <c r="I9" i="5" s="1"/>
  <c r="F8" i="5"/>
  <c r="I8" i="5" s="1"/>
  <c r="G17" i="8" l="1"/>
  <c r="F18" i="8"/>
  <c r="G18" i="8" s="1"/>
  <c r="H18" i="8" s="1"/>
  <c r="F19" i="8"/>
  <c r="G19" i="8" s="1"/>
  <c r="H19" i="8" s="1"/>
  <c r="F21" i="7"/>
  <c r="G21" i="7" s="1"/>
  <c r="H21" i="7" s="1"/>
  <c r="G18" i="7"/>
  <c r="F19" i="7"/>
  <c r="I22" i="5"/>
  <c r="H22" i="5"/>
  <c r="H13" i="5"/>
  <c r="H23" i="5"/>
  <c r="I21" i="5"/>
  <c r="I20" i="5" s="1"/>
  <c r="H21" i="5"/>
  <c r="I17" i="5"/>
  <c r="H17" i="5"/>
  <c r="H16" i="5"/>
  <c r="H8" i="5"/>
  <c r="H24" i="5"/>
  <c r="H12" i="5"/>
  <c r="H25" i="5"/>
  <c r="I10" i="5"/>
  <c r="H14" i="5"/>
  <c r="H18" i="5"/>
  <c r="H26" i="5"/>
  <c r="K9" i="2"/>
  <c r="F12" i="1" s="1"/>
  <c r="J9" i="2"/>
  <c r="E12" i="1" s="1"/>
  <c r="C17" i="2"/>
  <c r="I16" i="2"/>
  <c r="G16" i="11"/>
  <c r="H16" i="11" s="1"/>
  <c r="G16" i="8" l="1"/>
  <c r="G25" i="1" s="1"/>
  <c r="H17" i="8"/>
  <c r="H16" i="8" s="1"/>
  <c r="H25" i="1" s="1"/>
  <c r="G19" i="7"/>
  <c r="H19" i="7" s="1"/>
  <c r="F20" i="7"/>
  <c r="G20" i="7" s="1"/>
  <c r="H20" i="7" s="1"/>
  <c r="H18" i="7"/>
  <c r="I7" i="5"/>
  <c r="H7" i="5"/>
  <c r="H20" i="5"/>
  <c r="K16" i="2"/>
  <c r="I17" i="2"/>
  <c r="J16" i="2"/>
  <c r="H17" i="7" l="1"/>
  <c r="H24" i="1" s="1"/>
  <c r="G17" i="7"/>
  <c r="G24" i="1" s="1"/>
  <c r="J17" i="2"/>
  <c r="J15" i="2" s="1"/>
  <c r="G12" i="1" s="1"/>
  <c r="K17" i="2"/>
  <c r="K15" i="2" s="1"/>
  <c r="H12" i="1" s="1"/>
  <c r="G18" i="3"/>
  <c r="H18" i="3" s="1"/>
  <c r="G17" i="3"/>
  <c r="E17" i="3"/>
  <c r="H16" i="3"/>
  <c r="J16" i="3" s="1"/>
  <c r="E28" i="1"/>
  <c r="E27" i="1" s="1"/>
  <c r="F27" i="1"/>
  <c r="F26" i="1"/>
  <c r="F18" i="1"/>
  <c r="F15" i="1"/>
  <c r="E15" i="1"/>
  <c r="E19" i="1" l="1"/>
  <c r="F19" i="1"/>
  <c r="J18" i="3"/>
  <c r="I18" i="3"/>
  <c r="H17" i="3"/>
  <c r="I16" i="3"/>
  <c r="K16" i="3" s="1"/>
  <c r="L16" i="3" l="1"/>
  <c r="K18" i="3"/>
  <c r="L18" i="3" s="1"/>
  <c r="J17" i="3"/>
  <c r="I17" i="3"/>
  <c r="H15" i="3"/>
  <c r="G14" i="3"/>
  <c r="G13" i="3"/>
  <c r="G11" i="3"/>
  <c r="K17" i="3" l="1"/>
  <c r="H10" i="3"/>
  <c r="L17" i="3" l="1"/>
  <c r="L15" i="3" s="1"/>
  <c r="F13" i="1" s="1"/>
  <c r="K15" i="3"/>
  <c r="E13" i="1" s="1"/>
  <c r="G12" i="3"/>
  <c r="E11" i="3"/>
  <c r="H17" i="1" l="1"/>
  <c r="G17" i="1"/>
  <c r="G10" i="11"/>
  <c r="L13" i="4"/>
  <c r="G28" i="1" l="1"/>
  <c r="J10" i="3" l="1"/>
  <c r="I10" i="3"/>
  <c r="K10" i="3" l="1"/>
  <c r="L10" i="3" l="1"/>
  <c r="H14" i="3" l="1"/>
  <c r="F42" i="5"/>
  <c r="I42" i="5" s="1"/>
  <c r="E41" i="5"/>
  <c r="F41" i="5" s="1"/>
  <c r="F40" i="5"/>
  <c r="H40" i="5" s="1"/>
  <c r="H42" i="5" l="1"/>
  <c r="J14" i="3"/>
  <c r="I14" i="3"/>
  <c r="H13" i="3"/>
  <c r="I40" i="5"/>
  <c r="I41" i="5"/>
  <c r="H41" i="5"/>
  <c r="H27" i="1"/>
  <c r="G27" i="1"/>
  <c r="H26" i="1"/>
  <c r="H18" i="1"/>
  <c r="F15" i="9"/>
  <c r="F16" i="9"/>
  <c r="F18" i="9"/>
  <c r="F19" i="9"/>
  <c r="F17" i="9" s="1"/>
  <c r="F14" i="9"/>
  <c r="F11" i="9"/>
  <c r="F8" i="9"/>
  <c r="F9" i="9"/>
  <c r="F10" i="9"/>
  <c r="F7" i="9"/>
  <c r="C8" i="9"/>
  <c r="G9" i="6"/>
  <c r="G8" i="6"/>
  <c r="F9" i="6"/>
  <c r="F8" i="6"/>
  <c r="I43" i="5"/>
  <c r="H43" i="5"/>
  <c r="F50" i="5"/>
  <c r="H50" i="5" s="1"/>
  <c r="E49" i="5"/>
  <c r="F49" i="5"/>
  <c r="I49" i="5" s="1"/>
  <c r="F48" i="5"/>
  <c r="I48" i="5" s="1"/>
  <c r="F47" i="5"/>
  <c r="H47" i="5" s="1"/>
  <c r="F46" i="5"/>
  <c r="H46" i="5" s="1"/>
  <c r="F45" i="5"/>
  <c r="I45" i="5" s="1"/>
  <c r="E46" i="5"/>
  <c r="E45" i="5"/>
  <c r="F8" i="8"/>
  <c r="F8" i="7"/>
  <c r="F7" i="6" l="1"/>
  <c r="H45" i="5"/>
  <c r="I50" i="5"/>
  <c r="I13" i="3"/>
  <c r="J13" i="3"/>
  <c r="K13" i="3" s="1"/>
  <c r="F12" i="9"/>
  <c r="F6" i="9"/>
  <c r="K14" i="3"/>
  <c r="G7" i="6"/>
  <c r="H49" i="5"/>
  <c r="H48" i="5"/>
  <c r="H44" i="5" s="1"/>
  <c r="I47" i="5"/>
  <c r="I46" i="5"/>
  <c r="I44" i="5" s="1"/>
  <c r="L14" i="3" l="1"/>
  <c r="L13" i="3"/>
  <c r="F5" i="9"/>
  <c r="H29" i="1" s="1"/>
  <c r="H10" i="11"/>
  <c r="D9" i="8"/>
  <c r="F10" i="8"/>
  <c r="G10" i="8" s="1"/>
  <c r="H10" i="8" s="1"/>
  <c r="E10" i="7"/>
  <c r="F12" i="7"/>
  <c r="G12" i="7" s="1"/>
  <c r="H12" i="7" s="1"/>
  <c r="F11" i="7"/>
  <c r="G11" i="7" s="1"/>
  <c r="H11" i="7" s="1"/>
  <c r="I39" i="5"/>
  <c r="H39" i="5"/>
  <c r="F33" i="5"/>
  <c r="H33" i="5" s="1"/>
  <c r="F34" i="5"/>
  <c r="I34" i="5" s="1"/>
  <c r="F35" i="5"/>
  <c r="I35" i="5" s="1"/>
  <c r="F36" i="5"/>
  <c r="H36" i="5" s="1"/>
  <c r="F37" i="5"/>
  <c r="H37" i="5" s="1"/>
  <c r="F38" i="5"/>
  <c r="H38" i="5" s="1"/>
  <c r="F32" i="5"/>
  <c r="G29" i="1" l="1"/>
  <c r="F29" i="1"/>
  <c r="E29" i="1" s="1"/>
  <c r="I32" i="5"/>
  <c r="H32" i="5"/>
  <c r="I37" i="5"/>
  <c r="I38" i="5"/>
  <c r="F9" i="8"/>
  <c r="G9" i="8" s="1"/>
  <c r="H9" i="8" s="1"/>
  <c r="F11" i="8"/>
  <c r="G11" i="8" s="1"/>
  <c r="H11" i="8" s="1"/>
  <c r="G8" i="8"/>
  <c r="F9" i="7"/>
  <c r="G8" i="7"/>
  <c r="I36" i="5"/>
  <c r="H35" i="5"/>
  <c r="H34" i="5"/>
  <c r="I33" i="5"/>
  <c r="H8" i="7" l="1"/>
  <c r="I31" i="5"/>
  <c r="H19" i="1" s="1"/>
  <c r="H8" i="8"/>
  <c r="H7" i="8" s="1"/>
  <c r="F25" i="1" s="1"/>
  <c r="G7" i="8"/>
  <c r="E25" i="1" s="1"/>
  <c r="H31" i="5"/>
  <c r="G19" i="1" s="1"/>
  <c r="F10" i="7"/>
  <c r="G10" i="7" s="1"/>
  <c r="H10" i="7" s="1"/>
  <c r="G9" i="7"/>
  <c r="H9" i="7" s="1"/>
  <c r="F10" i="1" l="1"/>
  <c r="E10" i="1"/>
  <c r="G7" i="7"/>
  <c r="H7" i="7"/>
  <c r="H22" i="1" l="1"/>
  <c r="F24" i="1"/>
  <c r="F22" i="1" s="1"/>
  <c r="G22" i="1"/>
  <c r="E24" i="1"/>
  <c r="E22" i="1" s="1"/>
  <c r="H11" i="3"/>
  <c r="E12" i="3"/>
  <c r="H12" i="3" s="1"/>
  <c r="H9" i="3" l="1"/>
  <c r="I11" i="3"/>
  <c r="J11" i="3"/>
  <c r="G10" i="1"/>
  <c r="H10" i="1"/>
  <c r="J12" i="3"/>
  <c r="I12" i="3"/>
  <c r="F17" i="1" l="1"/>
  <c r="F16" i="1" s="1"/>
  <c r="F9" i="1" s="1"/>
  <c r="F30" i="1" s="1"/>
  <c r="K11" i="3"/>
  <c r="K12" i="3"/>
  <c r="H16" i="1"/>
  <c r="F32" i="1" l="1"/>
  <c r="F33" i="1" s="1"/>
  <c r="G16" i="1"/>
  <c r="E17" i="1"/>
  <c r="E16" i="1" s="1"/>
  <c r="E9" i="1" s="1"/>
  <c r="L12" i="3"/>
  <c r="L11" i="3"/>
  <c r="K9" i="3"/>
  <c r="G15" i="1" l="1"/>
  <c r="G13" i="1"/>
  <c r="E30" i="1"/>
  <c r="E32" i="1" s="1"/>
  <c r="L9" i="3"/>
  <c r="H15" i="1" l="1"/>
  <c r="H13" i="1"/>
  <c r="G9" i="1"/>
  <c r="G30" i="1" s="1"/>
  <c r="G32" i="1" s="1"/>
  <c r="G33" i="1" s="1"/>
  <c r="E33" i="1"/>
  <c r="H9" i="1" l="1"/>
  <c r="H30" i="1" l="1"/>
  <c r="H32" i="1"/>
  <c r="H33" i="1" s="1"/>
</calcChain>
</file>

<file path=xl/sharedStrings.xml><?xml version="1.0" encoding="utf-8"?>
<sst xmlns="http://schemas.openxmlformats.org/spreadsheetml/2006/main" count="621" uniqueCount="378">
  <si>
    <t>Phụ lục số 01</t>
  </si>
  <si>
    <t>CHI PHÍ NĂNG LƯỢNG ĐỂ PHỤC VỤ CÔNG TÁC VẬN HÀNH NHÀ CHUNG CƯ</t>
  </si>
  <si>
    <t>Đơn vị tính: Đồng</t>
  </si>
  <si>
    <t>STT</t>
  </si>
  <si>
    <t>Số lượng thiết bị</t>
  </si>
  <si>
    <t>Công suất thiết bị (Kw)</t>
  </si>
  <si>
    <t>Thành tiền (đồng)</t>
  </si>
  <si>
    <t>1 tháng</t>
  </si>
  <si>
    <t>1 năm</t>
  </si>
  <si>
    <t>Ghi chú</t>
  </si>
  <si>
    <t>Bơm nước sinh hoạt</t>
  </si>
  <si>
    <t>Phụ lục số 02</t>
  </si>
  <si>
    <t>CHI PHÍ NHIÊN LIỆU ĐỂ PHỤC VỤ CÔNG TÁC VẬN HÀNH NHÀ CHUNG CƯ</t>
  </si>
  <si>
    <t>Tên thiết bị và nội dung công việc</t>
  </si>
  <si>
    <t>Loại nhiên liệu</t>
  </si>
  <si>
    <t>Đơn vị</t>
  </si>
  <si>
    <t>Khối lượng (1 năm)</t>
  </si>
  <si>
    <t>Định mức thời gian (phút)</t>
  </si>
  <si>
    <t>Đơn giá chưa VAT (đ/lít)</t>
  </si>
  <si>
    <t>Khối lượng (1 tháng)</t>
  </si>
  <si>
    <t>10=5*7*8*9</t>
  </si>
  <si>
    <t>11=6*7*8*9</t>
  </si>
  <si>
    <t>Dầu diezel</t>
  </si>
  <si>
    <t>lần</t>
  </si>
  <si>
    <t>Định mức tiêu thụ (lít/phút )</t>
  </si>
  <si>
    <t>Phụ lục số 03</t>
  </si>
  <si>
    <t>CHI PHÍ NHÂN CÔNG ĐỂ PHỤC VỤ CÔNG TÁC VẬN HÀNH NHÀ CHUNG CƯ</t>
  </si>
  <si>
    <t>Hệ số lương</t>
  </si>
  <si>
    <t>Khoản mục chi</t>
  </si>
  <si>
    <t>Số lượng</t>
  </si>
  <si>
    <t>Lương cơ bản/01 tháng</t>
  </si>
  <si>
    <t xml:space="preserve">Chi phí phụ cấp/01 tháng </t>
  </si>
  <si>
    <t>Phụ lục số 04</t>
  </si>
  <si>
    <t>Đơn giá chưa VAT (đồng/KW)</t>
  </si>
  <si>
    <t>Thời gian làm việc (giờ)</t>
  </si>
  <si>
    <t>Công suất (KW/giờ)</t>
  </si>
  <si>
    <t>Thành tiền</t>
  </si>
  <si>
    <t>Đèn tầng 1</t>
  </si>
  <si>
    <t>Đèn hành lang, cầu thang, phòng kỹ thuật</t>
  </si>
  <si>
    <t>Đèn tầng mái</t>
  </si>
  <si>
    <t>Phụ lục số 05</t>
  </si>
  <si>
    <t>Tên và quy cách công cụ</t>
  </si>
  <si>
    <t>Đơn giá</t>
  </si>
  <si>
    <t>thành tiền</t>
  </si>
  <si>
    <t>Thời gian khấu hao</t>
  </si>
  <si>
    <t>Chi phí khấu hao</t>
  </si>
  <si>
    <t>Phụ lục số 06</t>
  </si>
  <si>
    <t>Tên vật tư</t>
  </si>
  <si>
    <t>Phụ lục số 07</t>
  </si>
  <si>
    <t>Phụ lục số 08</t>
  </si>
  <si>
    <t>Tên thiết bị</t>
  </si>
  <si>
    <t>Phụ lục số 09</t>
  </si>
  <si>
    <t>Nội dung</t>
  </si>
  <si>
    <t>Khối lượng</t>
  </si>
  <si>
    <t xml:space="preserve"> </t>
  </si>
  <si>
    <t>Đơn giá điện theo  QĐ số 2941/QĐ-BCT ngày 08/11/2023 của Bộ Công thương</t>
  </si>
  <si>
    <t xml:space="preserve">Tổ vệ sinh, </t>
  </si>
  <si>
    <t>8=(3*5*6)+6</t>
  </si>
  <si>
    <t xml:space="preserve"> (30 ngày)/1 tháng</t>
  </si>
  <si>
    <t>Thời gian làm việc (giờ/ngày/ tháng)</t>
  </si>
  <si>
    <t>Đèn sảnh</t>
  </si>
  <si>
    <t>Đèn nhà xe</t>
  </si>
  <si>
    <t>Đèn exit</t>
  </si>
  <si>
    <t>- Máy vi tính để bàn</t>
  </si>
  <si>
    <t>- Máy vi tính xách tay (hoặc thiết bị điện tử tương đương)</t>
  </si>
  <si>
    <t>- Máy in</t>
  </si>
  <si>
    <t>- Máy fax</t>
  </si>
  <si>
    <t>- Tủ đựng tài liệu</t>
  </si>
  <si>
    <t>- Máy scan</t>
  </si>
  <si>
    <t>- Máy hủy tài liệu</t>
  </si>
  <si>
    <t>- Máy photocopy</t>
  </si>
  <si>
    <t>- Bộ bàn ghế ngồi làm việc trang bị cho các chức danh</t>
  </si>
  <si>
    <t>- Bộ bàn ghế họp</t>
  </si>
  <si>
    <t>- Bộ bàn ghế tiếp khách</t>
  </si>
  <si>
    <t>- Máy điều hòa không khí</t>
  </si>
  <si>
    <t>- Quạt</t>
  </si>
  <si>
    <t>- Máy sưởi</t>
  </si>
  <si>
    <t>- Máy móc, thiết bị văn phòng phổ biến khác</t>
  </si>
  <si>
    <t>5</t>
  </si>
  <si>
    <t>- Thiết bị mạng, truyền thông</t>
  </si>
  <si>
    <t>- Thiết bị điện văn phòng</t>
  </si>
  <si>
    <t>- Thiết bị điện tử phục vụ quản lý, lưu trữ dữ liệu</t>
  </si>
  <si>
    <t>- Thiết bị truyền dẫn</t>
  </si>
  <si>
    <t>- Camera giám sát</t>
  </si>
  <si>
    <t>- Thang máy</t>
  </si>
  <si>
    <t>- Máy bơm nước</t>
  </si>
  <si>
    <t>- Két sắt</t>
  </si>
  <si>
    <t>- Bàn ghế hội trường</t>
  </si>
  <si>
    <t>(8)=(6)/(7)/12</t>
  </si>
  <si>
    <t xml:space="preserve"> (9)=(6)/(7)</t>
  </si>
  <si>
    <t> Hòa Phát</t>
  </si>
  <si>
    <t>Hòa Phát</t>
  </si>
  <si>
    <t> Canon</t>
  </si>
  <si>
    <t>bộ</t>
  </si>
  <si>
    <t>Trung Quốc</t>
  </si>
  <si>
    <t>Máy phun áp lực cao (để phục vụ công tác rửa và vệ sinh cho toà nhà)</t>
  </si>
  <si>
    <t>Tủ Y tế dự phòng nhôm kính (0,15*0,4*0,3)</t>
  </si>
  <si>
    <t>Hòm thư góp ý (tôn hoa kt 20x10x3 5cm)</t>
  </si>
  <si>
    <t>cái</t>
  </si>
  <si>
    <t>Máy in</t>
  </si>
  <si>
    <t>Máy tính</t>
  </si>
  <si>
    <t>Ấm điện</t>
  </si>
  <si>
    <t>Quạt điện (hoạt động 6 tháng)</t>
  </si>
  <si>
    <t>Điều hòa</t>
  </si>
  <si>
    <t>Thời gian làm việc (giờ)/ngày</t>
  </si>
  <si>
    <t>Đầu ghi hình</t>
  </si>
  <si>
    <t>Camera</t>
  </si>
  <si>
    <t>Màn hình</t>
  </si>
  <si>
    <t>Âm ly</t>
  </si>
  <si>
    <t>Người</t>
  </si>
  <si>
    <t xml:space="preserve">Chạy máy phát điện dự phòng khi mất điện, dự kiến mất điện lưới 02 tháng/01 lần. Mỗi lần 30 phút </t>
  </si>
  <si>
    <t>Chạy 01 lần /tháng, mỗi lần 15 phút (bao gồm cả chạy bảo dưỡng)</t>
  </si>
  <si>
    <t>Bật kiểm tra tính TB 1h/ngày</t>
  </si>
  <si>
    <t>Tổng cộng</t>
  </si>
  <si>
    <t>Bàn làm việc cán bộ quản lý chung, cán bộ kỹ thuật Hòa phát bàn liền hộc AT160HT</t>
  </si>
  <si>
    <t>Ghế gấp làm việc và tiếp đón khách INOX Hòa Phát G04I</t>
  </si>
  <si>
    <t>Tủ hồ sơ Hòa Phát TU09K4</t>
  </si>
  <si>
    <t>Máy in Canon LDP 223DW</t>
  </si>
  <si>
    <t>Máy vi tính H510</t>
  </si>
  <si>
    <t>DỰ TOÁN QUẢN LÝ VẬN HÀNH</t>
  </si>
  <si>
    <t xml:space="preserve">Diễn giải </t>
  </si>
  <si>
    <t>Giá đề nghị</t>
  </si>
  <si>
    <t>Chi phí trực tiếp</t>
  </si>
  <si>
    <t>Chi phí năng lượng (điện) phục vụ công tác vận hành</t>
  </si>
  <si>
    <t xml:space="preserve">Chi phí nhiên liệu vận hành máy phát điện dự phòng (dầu Diezel) </t>
  </si>
  <si>
    <t>Kế toán</t>
  </si>
  <si>
    <t>Kỹ thuật</t>
  </si>
  <si>
    <t>Trang thiết bị cho ban quản trị</t>
  </si>
  <si>
    <t>Trang thiêt bị tổ bảo vệ, dọn vệ sinh</t>
  </si>
  <si>
    <t>Bàn làm việc Hòa phát bàn liền hộc AT160HT</t>
  </si>
  <si>
    <t>Giường, chiếu, chăn, màn (1,2*1,9)m</t>
  </si>
  <si>
    <t>Quạt điện cơ thống nhất</t>
  </si>
  <si>
    <t>Phích nước rạng đông, ấm chén</t>
  </si>
  <si>
    <t>II</t>
  </si>
  <si>
    <t>Thùng đựng rác nhựa</t>
  </si>
  <si>
    <t>Văn phòng phẩm cho tổ bảo vệ</t>
  </si>
  <si>
    <t>Sổ A4</t>
  </si>
  <si>
    <t>Bút bi (thiên Long)</t>
  </si>
  <si>
    <t>quyển</t>
  </si>
  <si>
    <t>Chi phí về đào tạo</t>
  </si>
  <si>
    <t>Chi phí mời giáo viên giảng lý thuyết</t>
  </si>
  <si>
    <t>Chi phí mời giáo viên giảng thực hành</t>
  </si>
  <si>
    <t>Tài liệu tập huấn</t>
  </si>
  <si>
    <t>Chi phí thiết bị phục vụ tập huấn</t>
  </si>
  <si>
    <t>Kiểm tra giấy chứng nhận huấn luyện PCCC</t>
  </si>
  <si>
    <t>Bình chữa cháy MFZ4 (chỉ tính chi phí nạp bình)</t>
  </si>
  <si>
    <t>Bình chữa cháy MT3 (chỉ tính chi phí nạp bình)</t>
  </si>
  <si>
    <t>Xăng Ron92</t>
  </si>
  <si>
    <t>Thuê khay đựng xăng</t>
  </si>
  <si>
    <t>Khảo sát xây dựng kế hoạch thực tập phương án chữa cháy</t>
  </si>
  <si>
    <t>Số người tham dự khoảng 6 người</t>
  </si>
  <si>
    <t>Chi phí mời cán bộ, chiến sỹ (01 cán bộ +06 người dân)</t>
  </si>
  <si>
    <t>01 người của đơn vị vận hành</t>
  </si>
  <si>
    <t>Chi phí khác (Phông, nước uống)</t>
  </si>
  <si>
    <t>bình</t>
  </si>
  <si>
    <t>Bình</t>
  </si>
  <si>
    <t>lít</t>
  </si>
  <si>
    <t>TB</t>
  </si>
  <si>
    <t>lượt</t>
  </si>
  <si>
    <t>người</t>
  </si>
  <si>
    <t>Chi phí thiết bị và phương tiện diễn tập</t>
  </si>
  <si>
    <t>I</t>
  </si>
  <si>
    <t>III</t>
  </si>
  <si>
    <t>Chi phí dịch vụ công cộng (Điện, nước)</t>
  </si>
  <si>
    <t>Điện công cộng</t>
  </si>
  <si>
    <t>Chi phí trang thiết bị cho ban quản trị, tổ bảo vệ, vệ sinh, kỹ thuật</t>
  </si>
  <si>
    <t>Chi phí trang thiết bị cho ban quản trị</t>
  </si>
  <si>
    <t>Chi phí trang thiết bị cho tổ bảo vệ, vệ sinh, kỹ thuật</t>
  </si>
  <si>
    <t>Văn phòng phẩm</t>
  </si>
  <si>
    <t>Điện sinh hoạt</t>
  </si>
  <si>
    <t>Hệ thống camera giám sát</t>
  </si>
  <si>
    <t xml:space="preserve">Chi phí VPP, điện nước </t>
  </si>
  <si>
    <t>Chi phí dịch vụ khác</t>
  </si>
  <si>
    <t>Chi phí phun thuốc muỗi (1 lần /năm)</t>
  </si>
  <si>
    <t>Chi phí tập huấn PCCC</t>
  </si>
  <si>
    <t>Chi phí sử dụng năng lượng</t>
  </si>
  <si>
    <t>Thời gian làm việc (giờ)/tháng</t>
  </si>
  <si>
    <t>1.1</t>
  </si>
  <si>
    <t>1.2</t>
  </si>
  <si>
    <t>3.1</t>
  </si>
  <si>
    <t>3.2</t>
  </si>
  <si>
    <t>4.1</t>
  </si>
  <si>
    <t>4.2</t>
  </si>
  <si>
    <t>5.1</t>
  </si>
  <si>
    <t>5.2</t>
  </si>
  <si>
    <t>5.3</t>
  </si>
  <si>
    <t>5.4</t>
  </si>
  <si>
    <t>Tổ kỹ thuật, bảo vệ, vệ sinh</t>
  </si>
  <si>
    <t>Đèn chiếu sáng tầng hầm</t>
  </si>
  <si>
    <t>CHI PHÍ ĐIỆN CHIẾU SÁNG CÔNG CỘNG TRONG VÀ NGOÀI NHÀ</t>
  </si>
  <si>
    <t>CHI PHÍ KHẤU HAO TÀI SẢN, CÔNG CỤ, DỤNG CỤ, THIẾT BỊ PHỤC VỤ QUẢN LÝ VẬN HÀNH</t>
  </si>
  <si>
    <t>Cái</t>
  </si>
  <si>
    <t>CHI PHÍ VĂN PHÒNG PHẨM</t>
  </si>
  <si>
    <t>Tổng chi phí</t>
  </si>
  <si>
    <t>CHI PHÍ HỆ THỐNG CAMERA</t>
  </si>
  <si>
    <t>PL1</t>
  </si>
  <si>
    <t>PL2</t>
  </si>
  <si>
    <t>PL3</t>
  </si>
  <si>
    <t>PL4</t>
  </si>
  <si>
    <t>PL5</t>
  </si>
  <si>
    <t>PL6</t>
  </si>
  <si>
    <t>PL7</t>
  </si>
  <si>
    <t>PL8</t>
  </si>
  <si>
    <t>Trung bình 6h/ ngày</t>
  </si>
  <si>
    <t>24h/ ngày</t>
  </si>
  <si>
    <t>Trung bình 12h/ ngày</t>
  </si>
  <si>
    <t>CHI PHÍ NĂNG LƯỢNG PHỤC VỤ SINH HOẠT TỔ QUẢN LÝ VẬN HÀNH VÀ TỔ BẢO VỆ</t>
  </si>
  <si>
    <t xml:space="preserve"> DỰ TOÁN CHI PHÍ TẬP HUẤN, DIỄN TẬP PCCC</t>
  </si>
  <si>
    <t>Phòng SHCĐ</t>
  </si>
  <si>
    <t>BHXH</t>
  </si>
  <si>
    <t>Công đoàn</t>
  </si>
  <si>
    <t>Tổng lương/01 tháng</t>
  </si>
  <si>
    <t>9=8*32%</t>
  </si>
  <si>
    <t>10=8*2%</t>
  </si>
  <si>
    <t>11=8+9+10</t>
  </si>
  <si>
    <t>12=11*12</t>
  </si>
  <si>
    <t>2000 đồng/1m2</t>
  </si>
  <si>
    <t>Tổng diện tích sử dụng (sở hữu riêng theo thông thuỷ)</t>
  </si>
  <si>
    <t>Mục 2.2.2 Phụ lục</t>
  </si>
  <si>
    <t>Điện khu trông giữ xe tính giá kinh doanh, mục 3.3</t>
  </si>
  <si>
    <t>Chi phí lương trưởng ban quản lý, tổ bảo vệ, vệ sinh, kỹ thuật</t>
  </si>
  <si>
    <t>Chi phí lương cho trưởng ban quản lý, nhân viên bảo vệ, vệ sinh, kỹ thuật, kế toán</t>
  </si>
  <si>
    <t xml:space="preserve">Tổ bảo vệ </t>
  </si>
  <si>
    <t>Tổ trưởng quản lý</t>
  </si>
  <si>
    <t>PL1+PL2</t>
  </si>
  <si>
    <t>Đơn giá dịch vụ /m2 (chưa bao gồm 10% VAT)</t>
  </si>
  <si>
    <t>Đơn giá dịch vụ /m2 (bao gồm 10% VAT)</t>
  </si>
  <si>
    <t>Lợi nhuận định mức hợp lý cho doanh nghiệp quản lý, vận hành nhà chung cư</t>
  </si>
  <si>
    <t>Q</t>
  </si>
  <si>
    <t>P</t>
  </si>
  <si>
    <t>S</t>
  </si>
  <si>
    <t>5% *(Q)</t>
  </si>
  <si>
    <t>Q=1+2+3+4    +5+6+7</t>
  </si>
  <si>
    <t xml:space="preserve">    (Q+P)/S</t>
  </si>
  <si>
    <t>Tổ trưởng quản lý, kiêm kỹ thuật</t>
  </si>
  <si>
    <t>Kế toán, kiêm vệ sinh</t>
  </si>
  <si>
    <t>Tổ bảo vệ, kiêm vệ sinh</t>
  </si>
  <si>
    <t xml:space="preserve">Máy phát điện dự phòng </t>
  </si>
  <si>
    <t>Nước phục vụ vệ sinh, chăm sóc cây xanh = 10,400 đ/m3x(20-100)m3/tháng</t>
  </si>
  <si>
    <t>Nước sinh hoạt   = 10,400 đ/m3x1 m3/người/tháng người</t>
  </si>
  <si>
    <t>PL9</t>
  </si>
  <si>
    <t>(01 đơn nguyên)</t>
  </si>
  <si>
    <t xml:space="preserve"> =&gt;</t>
  </si>
  <si>
    <t>Giá tối đa:</t>
  </si>
  <si>
    <t>Giá tối thiểu</t>
  </si>
  <si>
    <t>đ/m2/tháng</t>
  </si>
  <si>
    <t>Nhà chung cư cao trên 7 tầng</t>
  </si>
  <si>
    <t>(3 đơn nguyên)</t>
  </si>
  <si>
    <t>Chung cư trên 7 tầng, 01 đơn nguyên</t>
  </si>
  <si>
    <t>Chung cư trên 7 tầng 3 đơn nguyên</t>
  </si>
  <si>
    <t>Chung cư trên 7 tầng, 3 đơn nguyên</t>
  </si>
  <si>
    <t>Chung cư trên 7 tầng, 03 đơn nguyên</t>
  </si>
  <si>
    <t>Công suất 22kw/h, dự kiến bơm  4h/ngày</t>
  </si>
  <si>
    <t>Công suất 22kw/h, dự kiến bơm  4h/ngày x 3 khối</t>
  </si>
  <si>
    <t>Thang máy</t>
  </si>
  <si>
    <t>- Loại thang: Fuji Lift</t>
  </si>
  <si>
    <t>Tính TB 12h/ngày</t>
  </si>
  <si>
    <t xml:space="preserve">- Loại thang PCCC </t>
  </si>
  <si>
    <t>Tính TB 2h/ngày</t>
  </si>
  <si>
    <t>Chung cư trên 7 tầng, 01 đơn nguyên, máy phát điện 200KVA</t>
  </si>
  <si>
    <t>Chung cư trên 7 tầng, 3 đơn nguyên, máy phát điện 450KVA</t>
  </si>
  <si>
    <t>Cách tính nhiên liệu của máy phát điện chạy dầu</t>
  </si>
  <si>
    <t>Cũng tương tự như cách tính nhiên liệu của máy phát điện chạy xăng thì đối với máy phát điện chạy dầu Diesel sẽ được tính như sau: Để sản sinh ra 1kw trong một giờ thì lượng dầu tiêu hao tối đa khoảng 210 g/kwh.</t>
  </si>
  <si>
    <t>Để quy đổi ra lít thì ví dụ 1 lít dầu có trọng lượng là 800g vậy lượng tiêu hao dầu Diesel của công suất 1kW tối đa trong 1 giờ sẽ là: 210g = x lít (0,2625 lít). Như vậy máy có công suất 10KW thì lượng nhiên liệu tiêu hao là: x lít * 10 = 2,625 lít.</t>
  </si>
  <si>
    <t>Bảng chỉ mức tiêu hao nhiên liệu dầu của máy phát điện chạy dầu</t>
  </si>
  <si>
    <t>Công suất</t>
  </si>
  <si>
    <t>Suất tiêu hao nhiên liệu</t>
  </si>
  <si>
    <t>25% Tải</t>
  </si>
  <si>
    <t>lít/giờ</t>
  </si>
  <si>
    <t>50% Tải</t>
  </si>
  <si>
    <t>75% Tải</t>
  </si>
  <si>
    <t>100% Tải</t>
  </si>
  <si>
    <t>20 kVA</t>
  </si>
  <si>
    <t> 3,7</t>
  </si>
  <si>
    <t>4,7 </t>
  </si>
  <si>
    <t>5,2 </t>
  </si>
  <si>
    <t>30 kVA</t>
  </si>
  <si>
    <t> 5,4</t>
  </si>
  <si>
    <t>5,0 </t>
  </si>
  <si>
    <t>5,5 </t>
  </si>
  <si>
    <t>40 kVA</t>
  </si>
  <si>
    <t> 5,0</t>
  </si>
  <si>
    <t>6,4 </t>
  </si>
  <si>
    <t>8,4 </t>
  </si>
  <si>
    <t>50 kVA</t>
  </si>
  <si>
    <t> 7,5</t>
  </si>
  <si>
    <t>10 </t>
  </si>
  <si>
    <t>75 kVA</t>
  </si>
  <si>
    <t> 9,4</t>
  </si>
  <si>
    <t> 12</t>
  </si>
  <si>
    <t>100 kVA</t>
  </si>
  <si>
    <t> 14,7</t>
  </si>
  <si>
    <t>16,5 </t>
  </si>
  <si>
    <t>135 kVA</t>
  </si>
  <si>
    <t> 12,5</t>
  </si>
  <si>
    <t> 17</t>
  </si>
  <si>
    <t>18,5 </t>
  </si>
  <si>
    <t>150 kVA</t>
  </si>
  <si>
    <t> 18</t>
  </si>
  <si>
    <t> 21</t>
  </si>
  <si>
    <t>24 </t>
  </si>
  <si>
    <t>175 kVA</t>
  </si>
  <si>
    <t> 16,5</t>
  </si>
  <si>
    <t> 22</t>
  </si>
  <si>
    <t>200 kVA</t>
  </si>
  <si>
    <t> 22,8</t>
  </si>
  <si>
    <t> 26,8</t>
  </si>
  <si>
    <t>250 kVA</t>
  </si>
  <si>
    <t> 30</t>
  </si>
  <si>
    <t>300 kVA</t>
  </si>
  <si>
    <t> 24</t>
  </si>
  <si>
    <t> 33</t>
  </si>
  <si>
    <t>50 </t>
  </si>
  <si>
    <t>350 kVA</t>
  </si>
  <si>
    <t> 32,6</t>
  </si>
  <si>
    <t> 37</t>
  </si>
  <si>
    <t>55 </t>
  </si>
  <si>
    <t>400 kVA</t>
  </si>
  <si>
    <t> 37,8</t>
  </si>
  <si>
    <t> 42,8</t>
  </si>
  <si>
    <t>450 kVA</t>
  </si>
  <si>
    <t> 42,3</t>
  </si>
  <si>
    <t> 50,3</t>
  </si>
  <si>
    <t>59,5 </t>
  </si>
  <si>
    <t>500 kVA</t>
  </si>
  <si>
    <t> 50,6</t>
  </si>
  <si>
    <t> 60,6</t>
  </si>
  <si>
    <t>600 kVA</t>
  </si>
  <si>
    <t> 59,5</t>
  </si>
  <si>
    <t> 71</t>
  </si>
  <si>
    <t>85,2 </t>
  </si>
  <si>
    <t>700 kVA</t>
  </si>
  <si>
    <t> 71,6</t>
  </si>
  <si>
    <t> 85,6</t>
  </si>
  <si>
    <t>95,4 </t>
  </si>
  <si>
    <t>750 kVA</t>
  </si>
  <si>
    <t>800 kVA</t>
  </si>
  <si>
    <t> 85,1</t>
  </si>
  <si>
    <t> 99,1</t>
  </si>
  <si>
    <t>119,6 </t>
  </si>
  <si>
    <t>1000 kVA</t>
  </si>
  <si>
    <t> 95,1</t>
  </si>
  <si>
    <t> 127</t>
  </si>
  <si>
    <t> 165</t>
  </si>
  <si>
    <t>1250 kVA</t>
  </si>
  <si>
    <t>1500 kVA</t>
  </si>
  <si>
    <t>1750 kVA</t>
  </si>
  <si>
    <t>2000 kVA</t>
  </si>
  <si>
    <t>2250 kVA</t>
  </si>
  <si>
    <t>Thêm một cách ước tính khác đơn giản hơn:</t>
  </si>
  <si>
    <t>Tiêu hao nhiên liệu 25%: CS(kW) x 0,093</t>
  </si>
  <si>
    <t>Tiêu hao nhiên liệu 50%: CS(kW)x 0,151</t>
  </si>
  <si>
    <t>Tiêu hao nhiên liệu 75%: CS(kW)x 0,215</t>
  </si>
  <si>
    <t>Tiêu hao nhiên liệu 100%: CS(kW)x 0,276</t>
  </si>
  <si>
    <t>Đây là cách tính trong trường hợp không có thông tin cụ thể, nó chỉ mang tính tương đối. Tuy nhiên, bạn cũng có thể sử dụng cách tính gần đúng này để kiểm tra lại thông tin nhận được từ nhà cung cấp.</t>
  </si>
  <si>
    <t>Mong rằng với bảng định mức tiêu hao nhiên liệu trên đây sẽ giúp quý khách hàng lựa chọn được sản phẩm phù hợp và chính xác nhất có thể.</t>
  </si>
  <si>
    <t>Hãy liên hệ với chúng tôi có thể tư vấn giúp bạn chọn máy phát điện phù hợp với bạn.</t>
  </si>
  <si>
    <t>CÔNG TY TNHH THƯƠNG MẠI DỊCH VỤ VÕ GIA</t>
  </si>
  <si>
    <r>
      <t>Trụ sở:</t>
    </r>
    <r>
      <rPr>
        <sz val="14"/>
        <color rgb="FF111111"/>
        <rFont val="Arial"/>
        <family val="2"/>
      </rPr>
      <t> 341 Trường Chinh, P.Tân Thới Nhất, Q.12, TP.HCM</t>
    </r>
  </si>
  <si>
    <t>Tel: (028) 6259 4902 – Hotline: 0909.968.122 (Mr.Qúy)</t>
  </si>
  <si>
    <r>
      <t>Chi nhánh 1:</t>
    </r>
    <r>
      <rPr>
        <sz val="14"/>
        <color rgb="FF111111"/>
        <rFont val="Arial"/>
        <family val="2"/>
      </rPr>
      <t> 40/21 Đường HT31, KP1, P.Hiệp Thành, Q.12</t>
    </r>
  </si>
  <si>
    <t>Tel: (028) 6259 4902 – Hotline: 0938.595.888 (Mr.Qúy)</t>
  </si>
  <si>
    <r>
      <t>Chi nhánh 2:</t>
    </r>
    <r>
      <rPr>
        <sz val="14"/>
        <color rgb="FF111111"/>
        <rFont val="Arial"/>
        <family val="2"/>
      </rPr>
      <t> 14 Nguyễn Văn Qùy, P.Phú Thuận, Q.7, TP.HCM</t>
    </r>
  </si>
  <si>
    <t>ĐT: (028) 3735 5371 – Hotline: 0983 575 864</t>
  </si>
  <si>
    <r>
      <t>Chi nhánh 3:</t>
    </r>
    <r>
      <rPr>
        <sz val="14"/>
        <color rgb="FF111111"/>
        <rFont val="Arial"/>
        <family val="2"/>
      </rPr>
      <t> 43 Đường 31, KP3, P. Bình Trưng Đông, Q.2</t>
    </r>
  </si>
  <si>
    <t>ĐT: (028) 3735 5368 – Hotline: 0938 149 009</t>
  </si>
  <si>
    <r>
      <t>Chi nhánh tại Đà Nẵng:</t>
    </r>
    <r>
      <rPr>
        <sz val="14"/>
        <color rgb="FF111111"/>
        <rFont val="Arial"/>
        <family val="2"/>
      </rPr>
      <t> 464 Lê Văn Hiến, Q.Ngũ Hành Sơn, Tp.Đà Nẵng</t>
    </r>
  </si>
  <si>
    <t>Hotline: 0984 547 376</t>
  </si>
  <si>
    <r>
      <t>Kho Xưởng:</t>
    </r>
    <r>
      <rPr>
        <sz val="14"/>
        <color rgb="FF111111"/>
        <rFont val="Arial"/>
        <family val="2"/>
      </rPr>
      <t> 990 Quốc Lộ 1A, P.Thạnh Xuân, Q.12,TP.HCM</t>
    </r>
  </si>
  <si>
    <t>Hotline: 0909.968.122 – 0938.595.888 (Mr.Qúy)</t>
  </si>
  <si>
    <r>
      <t>Mail:</t>
    </r>
    <r>
      <rPr>
        <sz val="14"/>
        <color rgb="FF111111"/>
        <rFont val="Arial"/>
        <family val="2"/>
      </rPr>
      <t> quy@vogia.com.vn</t>
    </r>
  </si>
  <si>
    <t>Website: www.mayphatdienvogia.com</t>
  </si>
  <si>
    <t>Đèn trang trí</t>
  </si>
  <si>
    <t>Đơn giá chưa VAT (đ/Kwh)</t>
  </si>
  <si>
    <t>Mức lương tối thiểu vùng 2, Nghị định 74/2024/NĐ-CP (4,160,000 đồng/tháng)</t>
  </si>
  <si>
    <t>Tổng lương cơ bản/01 tháng)</t>
  </si>
  <si>
    <t xml:space="preserve">Tổng lương/12 tháng </t>
  </si>
  <si>
    <t>Đơn giá chưa VAT (đồng/KWh)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</si>
</sst>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_);[Red]\(0\)"/>
    <numFmt numFmtId="165" formatCode="0_);\(0\)"/>
    <numFmt numFmtId="166" formatCode="#,##0.0000"/>
    <numFmt numFmtId="167" formatCode="0.0"/>
    <numFmt numFmtId="168" formatCode="_(* #,##0_);_(* \(#,##0\);_(* &quot;-&quot;??_);_(@_)"/>
  </numFmts>
  <fonts count="37" x14ac:knownFonts="1">
    <font>
      <sz val="11"/>
      <color theme="1"/>
      <name val="Calibri"/>
      <family val="2"/>
      <scheme val="minor"/>
    </font>
    <font>
      <sz val="14"/>
      <color theme="1"/>
      <name val="Times New Roman"/>
      <family val="1"/>
    </font>
    <font>
      <sz val="12"/>
      <color theme="1"/>
      <name val="Times New Roman"/>
      <family val="1"/>
    </font>
    <font>
      <i/>
      <sz val="12"/>
      <color theme="1"/>
      <name val="Times New Roman"/>
      <family val="1"/>
    </font>
    <font>
      <b/>
      <sz val="14"/>
      <color theme="1"/>
      <name val="Times New Roman"/>
      <family val="1"/>
    </font>
    <font>
      <sz val="10"/>
      <color theme="1"/>
      <name val="Times New Roman"/>
      <family val="1"/>
    </font>
    <font>
      <i/>
      <sz val="10"/>
      <color theme="1"/>
      <name val="Times New Roman"/>
      <family val="1"/>
    </font>
    <font>
      <b/>
      <sz val="12"/>
      <color theme="1"/>
      <name val="Times New Roman"/>
      <family val="1"/>
    </font>
    <font>
      <sz val="10"/>
      <name val="Arial"/>
      <family val="2"/>
    </font>
    <font>
      <sz val="10"/>
      <color rgb="FF000000"/>
      <name val="Times New Roman"/>
      <family val="1"/>
    </font>
    <font>
      <b/>
      <sz val="10"/>
      <color theme="1"/>
      <name val="Times New Roman"/>
      <family val="1"/>
    </font>
    <font>
      <i/>
      <sz val="14"/>
      <color theme="1"/>
      <name val="Times New Roman"/>
      <family val="1"/>
    </font>
    <font>
      <b/>
      <sz val="10"/>
      <color rgb="FF000000"/>
      <name val="Times New Roman"/>
      <family val="1"/>
    </font>
    <font>
      <b/>
      <i/>
      <sz val="14"/>
      <color theme="1"/>
      <name val="Times New Roman"/>
      <family val="1"/>
    </font>
    <font>
      <b/>
      <i/>
      <sz val="12"/>
      <color theme="1"/>
      <name val="Times New Roman"/>
      <family val="1"/>
    </font>
    <font>
      <sz val="14"/>
      <color rgb="FFFF0000"/>
      <name val="Times New Roman"/>
      <family val="1"/>
    </font>
    <font>
      <i/>
      <sz val="14"/>
      <color rgb="FFFF0000"/>
      <name val="Times New Roman"/>
      <family val="1"/>
    </font>
    <font>
      <b/>
      <sz val="12"/>
      <name val="Times New Roman"/>
      <family val="1"/>
    </font>
    <font>
      <sz val="10"/>
      <name val="Times New Roman"/>
      <family val="1"/>
    </font>
    <font>
      <sz val="11"/>
      <color theme="1"/>
      <name val="Calibri"/>
      <family val="2"/>
      <scheme val="minor"/>
    </font>
    <font>
      <b/>
      <sz val="17.600000000000001"/>
      <color rgb="FF000000"/>
      <name val="Arial"/>
      <family val="2"/>
    </font>
    <font>
      <sz val="14"/>
      <color rgb="FF111111"/>
      <name val="Arial"/>
      <family val="2"/>
    </font>
    <font>
      <b/>
      <sz val="14"/>
      <color rgb="FF111111"/>
      <name val="Arial"/>
      <family val="2"/>
    </font>
    <font>
      <sz val="9.9"/>
      <color rgb="FF111111"/>
      <name val="Arial"/>
      <family val="2"/>
    </font>
    <font>
      <b/>
      <sz val="9.9"/>
      <color rgb="FF111111"/>
      <name val="Arial"/>
      <family val="2"/>
    </font>
    <font>
      <b/>
      <sz val="13.75"/>
      <color rgb="FF000000"/>
      <name val="Arial"/>
      <family val="2"/>
    </font>
    <font>
      <u/>
      <sz val="11"/>
      <color theme="10"/>
      <name val="Calibri"/>
      <family val="2"/>
      <scheme val="minor"/>
    </font>
    <font>
      <b/>
      <sz val="14"/>
      <name val="Times New Roman"/>
      <family val="1"/>
    </font>
    <font>
      <sz val="14"/>
      <name val="Times New Roman"/>
      <family val="1"/>
    </font>
    <font>
      <i/>
      <sz val="12"/>
      <name val="Times New Roman"/>
      <family val="1"/>
    </font>
    <font>
      <b/>
      <i/>
      <sz val="12"/>
      <name val="Times New Roman"/>
      <family val="1"/>
    </font>
    <font>
      <sz val="12"/>
      <name val="Times New Roman"/>
      <family val="1"/>
    </font>
    <font>
      <b/>
      <i/>
      <sz val="14"/>
      <name val="Times New Roman"/>
      <family val="1"/>
    </font>
    <font>
      <sz val="13"/>
      <name val="Times New Roman"/>
      <family val="1"/>
    </font>
    <font>
      <b/>
      <sz val="10"/>
      <name val="Times New Roman"/>
      <family val="1"/>
    </font>
    <font>
      <i/>
      <sz val="10"/>
      <name val="Times New Roman"/>
      <family val="1"/>
    </font>
    <font>
      <sz val="14"/>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E5E5E5"/>
      </left>
      <right style="medium">
        <color rgb="FFE5E5E5"/>
      </right>
      <top style="medium">
        <color rgb="FFE5E5E5"/>
      </top>
      <bottom style="medium">
        <color rgb="FFE5E5E5"/>
      </bottom>
      <diagonal/>
    </border>
    <border>
      <left style="medium">
        <color rgb="FFE5E5E5"/>
      </left>
      <right style="medium">
        <color rgb="FFE5E5E5"/>
      </right>
      <top style="medium">
        <color rgb="FFE5E5E5"/>
      </top>
      <bottom/>
      <diagonal/>
    </border>
    <border>
      <left style="medium">
        <color rgb="FFE5E5E5"/>
      </left>
      <right style="medium">
        <color rgb="FFE5E5E5"/>
      </right>
      <top/>
      <bottom style="medium">
        <color rgb="FFE5E5E5"/>
      </bottom>
      <diagonal/>
    </border>
    <border>
      <left style="thick">
        <color rgb="FFE5E5E5"/>
      </left>
      <right style="medium">
        <color rgb="FFE5E5E5"/>
      </right>
      <top style="thick">
        <color rgb="FFE5E5E5"/>
      </top>
      <bottom/>
      <diagonal/>
    </border>
    <border>
      <left style="medium">
        <color rgb="FFE5E5E5"/>
      </left>
      <right/>
      <top style="thick">
        <color rgb="FFE5E5E5"/>
      </top>
      <bottom style="medium">
        <color rgb="FFE5E5E5"/>
      </bottom>
      <diagonal/>
    </border>
    <border>
      <left/>
      <right/>
      <top style="thick">
        <color rgb="FFE5E5E5"/>
      </top>
      <bottom style="medium">
        <color rgb="FFE5E5E5"/>
      </bottom>
      <diagonal/>
    </border>
    <border>
      <left/>
      <right style="thick">
        <color rgb="FFE5E5E5"/>
      </right>
      <top style="thick">
        <color rgb="FFE5E5E5"/>
      </top>
      <bottom style="medium">
        <color rgb="FFE5E5E5"/>
      </bottom>
      <diagonal/>
    </border>
    <border>
      <left style="thick">
        <color rgb="FFE5E5E5"/>
      </left>
      <right style="medium">
        <color rgb="FFE5E5E5"/>
      </right>
      <top/>
      <bottom/>
      <diagonal/>
    </border>
    <border>
      <left style="medium">
        <color rgb="FFE5E5E5"/>
      </left>
      <right style="thick">
        <color rgb="FFE5E5E5"/>
      </right>
      <top style="medium">
        <color rgb="FFE5E5E5"/>
      </top>
      <bottom/>
      <diagonal/>
    </border>
    <border>
      <left style="thick">
        <color rgb="FFE5E5E5"/>
      </left>
      <right style="medium">
        <color rgb="FFE5E5E5"/>
      </right>
      <top/>
      <bottom style="medium">
        <color rgb="FFE5E5E5"/>
      </bottom>
      <diagonal/>
    </border>
    <border>
      <left style="medium">
        <color rgb="FFE5E5E5"/>
      </left>
      <right style="thick">
        <color rgb="FFE5E5E5"/>
      </right>
      <top/>
      <bottom style="medium">
        <color rgb="FFE5E5E5"/>
      </bottom>
      <diagonal/>
    </border>
    <border>
      <left style="thick">
        <color rgb="FFE5E5E5"/>
      </left>
      <right style="medium">
        <color rgb="FFE5E5E5"/>
      </right>
      <top style="medium">
        <color rgb="FFE5E5E5"/>
      </top>
      <bottom style="medium">
        <color rgb="FFE5E5E5"/>
      </bottom>
      <diagonal/>
    </border>
    <border>
      <left style="medium">
        <color rgb="FFE5E5E5"/>
      </left>
      <right style="thick">
        <color rgb="FFE5E5E5"/>
      </right>
      <top style="medium">
        <color rgb="FFE5E5E5"/>
      </top>
      <bottom style="medium">
        <color rgb="FFE5E5E5"/>
      </bottom>
      <diagonal/>
    </border>
    <border>
      <left style="thick">
        <color rgb="FFE5E5E5"/>
      </left>
      <right style="medium">
        <color rgb="FFE5E5E5"/>
      </right>
      <top style="medium">
        <color rgb="FFE5E5E5"/>
      </top>
      <bottom style="thick">
        <color rgb="FFE5E5E5"/>
      </bottom>
      <diagonal/>
    </border>
    <border>
      <left style="medium">
        <color rgb="FFE5E5E5"/>
      </left>
      <right style="medium">
        <color rgb="FFE5E5E5"/>
      </right>
      <top style="medium">
        <color rgb="FFE5E5E5"/>
      </top>
      <bottom style="thick">
        <color rgb="FFE5E5E5"/>
      </bottom>
      <diagonal/>
    </border>
    <border>
      <left style="medium">
        <color rgb="FFE5E5E5"/>
      </left>
      <right style="thick">
        <color rgb="FFE5E5E5"/>
      </right>
      <top style="medium">
        <color rgb="FFE5E5E5"/>
      </top>
      <bottom style="thick">
        <color rgb="FFE5E5E5"/>
      </bottom>
      <diagonal/>
    </border>
  </borders>
  <cellStyleXfs count="4">
    <xf numFmtId="0" fontId="0" fillId="0" borderId="0"/>
    <xf numFmtId="0" fontId="8" fillId="0" borderId="0"/>
    <xf numFmtId="43" fontId="19" fillId="0" borderId="0" applyFont="0" applyFill="0" applyBorder="0" applyAlignment="0" applyProtection="0"/>
    <xf numFmtId="0" fontId="26" fillId="0" borderId="0" applyNumberFormat="0" applyFill="0" applyBorder="0" applyAlignment="0" applyProtection="0"/>
  </cellStyleXfs>
  <cellXfs count="289">
    <xf numFmtId="0" fontId="0" fillId="0" borderId="0" xfId="0"/>
    <xf numFmtId="0" fontId="1" fillId="0" borderId="0" xfId="0" applyFont="1"/>
    <xf numFmtId="0" fontId="2" fillId="0" borderId="0" xfId="0" applyFont="1" applyAlignment="1"/>
    <xf numFmtId="0" fontId="3" fillId="0" borderId="0" xfId="0" applyFont="1"/>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horizontal="justify" vertical="top" wrapText="1"/>
    </xf>
    <xf numFmtId="3" fontId="5" fillId="0" borderId="2" xfId="0" applyNumberFormat="1" applyFont="1" applyBorder="1" applyAlignment="1">
      <alignment vertical="center"/>
    </xf>
    <xf numFmtId="0" fontId="3" fillId="0" borderId="0" xfId="0" applyFont="1" applyBorder="1" applyAlignment="1">
      <alignment horizontal="center"/>
    </xf>
    <xf numFmtId="0" fontId="1" fillId="0" borderId="1" xfId="0" applyFont="1" applyBorder="1"/>
    <xf numFmtId="3" fontId="5" fillId="0" borderId="1" xfId="0" applyNumberFormat="1" applyFont="1" applyBorder="1"/>
    <xf numFmtId="0" fontId="5" fillId="0" borderId="1" xfId="0" applyFont="1" applyBorder="1"/>
    <xf numFmtId="0" fontId="1" fillId="0" borderId="0" xfId="0" applyFont="1" applyAlignment="1">
      <alignment horizontal="fill" vertical="top" wrapText="1"/>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3" fontId="5" fillId="0" borderId="0" xfId="0" applyNumberFormat="1" applyFont="1" applyBorder="1"/>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indent="1"/>
    </xf>
    <xf numFmtId="0" fontId="9" fillId="0" borderId="1" xfId="0" applyFont="1" applyBorder="1" applyAlignment="1">
      <alignment vertical="center"/>
    </xf>
    <xf numFmtId="3" fontId="5" fillId="0" borderId="1" xfId="0" applyNumberFormat="1"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3" fontId="9" fillId="0" borderId="0" xfId="0" applyNumberFormat="1" applyFont="1" applyBorder="1" applyAlignment="1">
      <alignment horizontal="right" vertical="center" wrapText="1" indent="1"/>
    </xf>
    <xf numFmtId="0" fontId="4" fillId="0" borderId="0" xfId="0" applyFont="1"/>
    <xf numFmtId="0" fontId="11" fillId="0" borderId="0" xfId="0" applyFont="1"/>
    <xf numFmtId="0" fontId="12" fillId="0" borderId="1" xfId="0" applyFont="1" applyBorder="1" applyAlignment="1">
      <alignment vertical="center"/>
    </xf>
    <xf numFmtId="0" fontId="12" fillId="0" borderId="1" xfId="0" applyFont="1" applyBorder="1" applyAlignment="1">
      <alignment horizontal="center" vertical="center"/>
    </xf>
    <xf numFmtId="3" fontId="10" fillId="0" borderId="1" xfId="0" applyNumberFormat="1" applyFont="1" applyBorder="1"/>
    <xf numFmtId="165"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4" fillId="0" borderId="0" xfId="0" applyFont="1" applyAlignment="1">
      <alignment horizontal="fill" vertical="top" wrapText="1"/>
    </xf>
    <xf numFmtId="0" fontId="13" fillId="0" borderId="0" xfId="0" applyFont="1"/>
    <xf numFmtId="0" fontId="10" fillId="0" borderId="1" xfId="0" applyFont="1" applyBorder="1" applyAlignment="1">
      <alignment horizontal="center" vertical="center"/>
    </xf>
    <xf numFmtId="3" fontId="9"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3" fontId="10" fillId="0" borderId="1" xfId="0" applyNumberFormat="1" applyFont="1" applyBorder="1" applyAlignment="1">
      <alignment vertical="center"/>
    </xf>
    <xf numFmtId="0" fontId="5" fillId="0" borderId="1" xfId="0" applyFont="1" applyBorder="1" applyAlignment="1">
      <alignment horizontal="justify" vertical="top" wrapText="1"/>
    </xf>
    <xf numFmtId="0" fontId="10" fillId="0" borderId="1" xfId="0" applyFont="1" applyBorder="1"/>
    <xf numFmtId="0" fontId="1" fillId="0" borderId="0" xfId="0" applyNumberFormat="1" applyFont="1" applyAlignment="1">
      <alignment horizontal="center" vertical="center"/>
    </xf>
    <xf numFmtId="0" fontId="15" fillId="3" borderId="0" xfId="0" applyFont="1" applyFill="1"/>
    <xf numFmtId="0" fontId="16" fillId="3" borderId="0" xfId="0" applyFont="1" applyFill="1"/>
    <xf numFmtId="2" fontId="4" fillId="0" borderId="0" xfId="0" applyNumberFormat="1" applyFont="1"/>
    <xf numFmtId="0" fontId="18" fillId="0" borderId="6" xfId="0" applyFont="1" applyBorder="1" applyAlignment="1">
      <alignment vertical="center" wrapText="1"/>
    </xf>
    <xf numFmtId="0" fontId="18" fillId="0" borderId="7" xfId="0" applyFont="1" applyBorder="1" applyAlignment="1">
      <alignment horizontal="center" vertical="center" wrapText="1"/>
    </xf>
    <xf numFmtId="0" fontId="18" fillId="0" borderId="8" xfId="0" applyFont="1" applyBorder="1" applyAlignment="1">
      <alignment vertical="center" wrapText="1"/>
    </xf>
    <xf numFmtId="0" fontId="18" fillId="0" borderId="5" xfId="0" applyFont="1" applyBorder="1" applyAlignment="1">
      <alignment horizontal="center" vertical="center" wrapText="1"/>
    </xf>
    <xf numFmtId="0" fontId="5" fillId="0" borderId="1" xfId="0" applyFont="1" applyBorder="1" applyAlignment="1">
      <alignment vertical="center"/>
    </xf>
    <xf numFmtId="0" fontId="7" fillId="0" borderId="0" xfId="0" applyFont="1" applyAlignment="1">
      <alignment horizontal="center"/>
    </xf>
    <xf numFmtId="0" fontId="14" fillId="0" borderId="1" xfId="0" applyFont="1" applyBorder="1"/>
    <xf numFmtId="168" fontId="1" fillId="0" borderId="0" xfId="2" applyNumberFormat="1" applyFont="1"/>
    <xf numFmtId="0" fontId="10" fillId="0" borderId="1" xfId="0" applyFont="1" applyBorder="1" applyAlignment="1">
      <alignment horizontal="center"/>
    </xf>
    <xf numFmtId="0" fontId="5" fillId="0" borderId="1" xfId="0" applyFont="1" applyBorder="1" applyAlignment="1">
      <alignment horizontal="center"/>
    </xf>
    <xf numFmtId="0" fontId="1" fillId="0" borderId="1" xfId="0" applyFont="1" applyBorder="1" applyAlignment="1">
      <alignment horizontal="center"/>
    </xf>
    <xf numFmtId="0" fontId="5" fillId="0" borderId="2" xfId="0" applyFont="1" applyBorder="1" applyAlignment="1">
      <alignment vertical="center"/>
    </xf>
    <xf numFmtId="0" fontId="5" fillId="0" borderId="2" xfId="0" applyFont="1" applyBorder="1" applyAlignment="1">
      <alignment horizontal="center" vertical="center"/>
    </xf>
    <xf numFmtId="0" fontId="20" fillId="0" borderId="0" xfId="0" applyFont="1" applyAlignment="1">
      <alignment vertical="center" wrapText="1"/>
    </xf>
    <xf numFmtId="0" fontId="21" fillId="0" borderId="0" xfId="0" applyFont="1" applyAlignment="1">
      <alignment vertical="center" wrapText="1"/>
    </xf>
    <xf numFmtId="0" fontId="26" fillId="0" borderId="0" xfId="3" applyAlignment="1">
      <alignment vertical="center" wrapText="1"/>
    </xf>
    <xf numFmtId="0" fontId="24" fillId="2" borderId="17"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6" fillId="2" borderId="27" xfId="3" applyFill="1" applyBorder="1" applyAlignment="1">
      <alignment horizontal="left" vertical="center" wrapText="1"/>
    </xf>
    <xf numFmtId="0" fontId="26" fillId="2" borderId="29" xfId="3" applyFill="1" applyBorder="1" applyAlignment="1">
      <alignment horizontal="left" vertical="center" wrapText="1"/>
    </xf>
    <xf numFmtId="0" fontId="23" fillId="2" borderId="30" xfId="0" applyFont="1" applyFill="1" applyBorder="1" applyAlignment="1">
      <alignment horizontal="left" vertical="center" wrapText="1"/>
    </xf>
    <xf numFmtId="0" fontId="25" fillId="0" borderId="0" xfId="0" applyFont="1" applyAlignment="1">
      <alignment vertical="center" wrapText="1"/>
    </xf>
    <xf numFmtId="0" fontId="21" fillId="0" borderId="0" xfId="0" applyFont="1" applyAlignment="1">
      <alignment horizontal="left" vertical="center" wrapText="1" indent="1"/>
    </xf>
    <xf numFmtId="0" fontId="22" fillId="0" borderId="0" xfId="0" applyFont="1" applyAlignment="1">
      <alignment vertical="center" wrapText="1"/>
    </xf>
    <xf numFmtId="3" fontId="17" fillId="0" borderId="1" xfId="1" applyNumberFormat="1" applyFont="1" applyFill="1" applyBorder="1" applyAlignment="1">
      <alignment horizontal="left" vertical="center" wrapText="1"/>
    </xf>
    <xf numFmtId="0" fontId="28" fillId="0" borderId="0" xfId="0" applyNumberFormat="1" applyFont="1" applyFill="1" applyAlignment="1">
      <alignment horizontal="center" vertical="center"/>
    </xf>
    <xf numFmtId="0" fontId="28" fillId="0" borderId="0" xfId="0" applyFont="1" applyFill="1"/>
    <xf numFmtId="0" fontId="29" fillId="0" borderId="0" xfId="0" applyFont="1" applyFill="1"/>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17" fillId="0" borderId="1" xfId="0" applyFont="1" applyFill="1" applyBorder="1" applyAlignment="1">
      <alignment horizontal="center" vertical="center"/>
    </xf>
    <xf numFmtId="0"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17" fillId="0" borderId="10" xfId="0" applyFont="1" applyFill="1" applyBorder="1" applyAlignment="1">
      <alignment horizontal="center" vertical="center" wrapText="1"/>
    </xf>
    <xf numFmtId="0" fontId="17" fillId="0" borderId="10" xfId="0" applyFont="1" applyFill="1" applyBorder="1" applyAlignment="1">
      <alignment horizontal="justify" vertical="top" wrapText="1"/>
    </xf>
    <xf numFmtId="0" fontId="17" fillId="0" borderId="10" xfId="0" applyFont="1" applyFill="1" applyBorder="1" applyAlignment="1">
      <alignment horizontal="right" vertical="center" wrapText="1"/>
    </xf>
    <xf numFmtId="0" fontId="17" fillId="0" borderId="9" xfId="0" applyFont="1" applyFill="1" applyBorder="1" applyAlignment="1">
      <alignment horizontal="center" vertical="center" wrapText="1"/>
    </xf>
    <xf numFmtId="3" fontId="17" fillId="0" borderId="10" xfId="0" applyNumberFormat="1" applyFont="1" applyFill="1" applyBorder="1" applyAlignment="1">
      <alignment horizontal="right" vertical="center" wrapText="1"/>
    </xf>
    <xf numFmtId="0" fontId="17" fillId="0" borderId="11" xfId="0" applyFont="1" applyFill="1" applyBorder="1" applyAlignment="1">
      <alignment horizontal="center" vertical="center" wrapText="1"/>
    </xf>
    <xf numFmtId="0" fontId="17" fillId="0" borderId="11" xfId="0" applyFont="1" applyFill="1" applyBorder="1" applyAlignment="1">
      <alignment horizontal="justify" vertical="top" wrapText="1"/>
    </xf>
    <xf numFmtId="0" fontId="17" fillId="0" borderId="11" xfId="0" applyFont="1" applyFill="1" applyBorder="1" applyAlignment="1">
      <alignment horizontal="right" vertical="center" wrapText="1"/>
    </xf>
    <xf numFmtId="0" fontId="17" fillId="0" borderId="2" xfId="0" applyFont="1" applyFill="1" applyBorder="1" applyAlignment="1">
      <alignment horizontal="right" vertical="center" wrapText="1"/>
    </xf>
    <xf numFmtId="3" fontId="17" fillId="0" borderId="11" xfId="0" applyNumberFormat="1" applyFont="1" applyFill="1" applyBorder="1" applyAlignment="1">
      <alignment horizontal="right" vertical="center" wrapText="1"/>
    </xf>
    <xf numFmtId="0" fontId="29" fillId="0" borderId="11" xfId="0" applyNumberFormat="1" applyFont="1" applyFill="1" applyBorder="1" applyAlignment="1">
      <alignment horizontal="center" vertical="center"/>
    </xf>
    <xf numFmtId="0" fontId="29" fillId="0" borderId="11" xfId="0" applyFont="1" applyFill="1" applyBorder="1" applyAlignment="1">
      <alignment horizontal="justify" vertical="top" wrapText="1"/>
    </xf>
    <xf numFmtId="0" fontId="29" fillId="0" borderId="11" xfId="0" applyFont="1" applyFill="1" applyBorder="1" applyAlignment="1">
      <alignment horizontal="right" vertical="center"/>
    </xf>
    <xf numFmtId="0" fontId="31" fillId="0" borderId="2" xfId="0" applyFont="1" applyFill="1" applyBorder="1" applyAlignment="1">
      <alignment horizontal="center" vertical="center"/>
    </xf>
    <xf numFmtId="3" fontId="29" fillId="0" borderId="11" xfId="0" applyNumberFormat="1" applyFont="1" applyFill="1" applyBorder="1" applyAlignment="1">
      <alignment horizontal="right" vertical="center"/>
    </xf>
    <xf numFmtId="0" fontId="29" fillId="0" borderId="11" xfId="0" applyFont="1" applyFill="1" applyBorder="1" applyAlignment="1">
      <alignment wrapText="1"/>
    </xf>
    <xf numFmtId="3" fontId="29" fillId="0" borderId="11" xfId="0" applyNumberFormat="1" applyFont="1" applyFill="1" applyBorder="1" applyAlignment="1">
      <alignment horizontal="right" vertical="center" wrapText="1"/>
    </xf>
    <xf numFmtId="0" fontId="17" fillId="0" borderId="11" xfId="0" applyNumberFormat="1" applyFont="1" applyFill="1" applyBorder="1" applyAlignment="1">
      <alignment horizontal="center" vertical="center"/>
    </xf>
    <xf numFmtId="0" fontId="17" fillId="0" borderId="11" xfId="0" applyFont="1" applyFill="1" applyBorder="1"/>
    <xf numFmtId="0" fontId="17" fillId="0" borderId="2" xfId="0" applyFont="1" applyFill="1" applyBorder="1" applyAlignment="1">
      <alignment horizontal="center"/>
    </xf>
    <xf numFmtId="3" fontId="17" fillId="0" borderId="11" xfId="0" applyNumberFormat="1" applyFont="1" applyFill="1" applyBorder="1"/>
    <xf numFmtId="0" fontId="29" fillId="0" borderId="11" xfId="0" applyFont="1" applyFill="1" applyBorder="1"/>
    <xf numFmtId="0" fontId="31" fillId="0" borderId="11" xfId="0" applyNumberFormat="1" applyFont="1" applyFill="1" applyBorder="1" applyAlignment="1">
      <alignment horizontal="center" vertical="center"/>
    </xf>
    <xf numFmtId="0" fontId="31" fillId="0" borderId="11" xfId="0" applyFont="1" applyFill="1" applyBorder="1"/>
    <xf numFmtId="0" fontId="29" fillId="0" borderId="2" xfId="0" applyFont="1" applyFill="1" applyBorder="1" applyAlignment="1">
      <alignment horizontal="justify" vertical="top" wrapText="1"/>
    </xf>
    <xf numFmtId="0" fontId="31" fillId="0" borderId="2" xfId="0" applyFont="1" applyFill="1" applyBorder="1" applyAlignment="1">
      <alignment horizontal="center" vertical="top" wrapText="1"/>
    </xf>
    <xf numFmtId="3" fontId="29" fillId="0" borderId="11" xfId="0" applyNumberFormat="1" applyFont="1" applyFill="1" applyBorder="1"/>
    <xf numFmtId="0" fontId="29" fillId="0" borderId="2" xfId="0" applyFont="1" applyFill="1" applyBorder="1" applyAlignment="1">
      <alignment horizontal="center" vertical="center"/>
    </xf>
    <xf numFmtId="0" fontId="29" fillId="0" borderId="11" xfId="0" applyFont="1" applyFill="1" applyBorder="1" applyAlignment="1">
      <alignment vertical="top"/>
    </xf>
    <xf numFmtId="3" fontId="29" fillId="0" borderId="11" xfId="0" applyNumberFormat="1" applyFont="1" applyFill="1" applyBorder="1" applyAlignment="1">
      <alignment vertical="top"/>
    </xf>
    <xf numFmtId="0" fontId="30" fillId="0" borderId="11" xfId="0" applyNumberFormat="1" applyFont="1" applyFill="1" applyBorder="1" applyAlignment="1">
      <alignment horizontal="center" vertical="center"/>
    </xf>
    <xf numFmtId="0" fontId="30" fillId="0" borderId="11" xfId="0" applyFont="1" applyFill="1" applyBorder="1"/>
    <xf numFmtId="0" fontId="30" fillId="0" borderId="11" xfId="0" applyFont="1" applyFill="1" applyBorder="1" applyAlignment="1">
      <alignment horizontal="justify" vertical="top" wrapText="1"/>
    </xf>
    <xf numFmtId="3" fontId="30" fillId="0" borderId="11" xfId="0" applyNumberFormat="1" applyFont="1" applyFill="1" applyBorder="1"/>
    <xf numFmtId="0" fontId="17" fillId="0" borderId="11" xfId="0" applyFont="1" applyFill="1" applyBorder="1" applyAlignment="1">
      <alignment horizontal="center" vertical="center"/>
    </xf>
    <xf numFmtId="9" fontId="31" fillId="0" borderId="11" xfId="0" applyNumberFormat="1" applyFont="1" applyFill="1" applyBorder="1" applyAlignment="1">
      <alignment horizontal="right" vertical="center" wrapText="1"/>
    </xf>
    <xf numFmtId="3" fontId="17" fillId="0" borderId="11" xfId="0" applyNumberFormat="1" applyFont="1" applyFill="1" applyBorder="1" applyAlignment="1">
      <alignment vertical="center"/>
    </xf>
    <xf numFmtId="0" fontId="32" fillId="0" borderId="11" xfId="0" applyNumberFormat="1" applyFont="1" applyFill="1" applyBorder="1" applyAlignment="1">
      <alignment horizontal="center" vertical="center"/>
    </xf>
    <xf numFmtId="0" fontId="32" fillId="0" borderId="1" xfId="0" applyFont="1" applyFill="1" applyBorder="1"/>
    <xf numFmtId="0" fontId="17" fillId="0" borderId="1" xfId="0" applyFont="1" applyFill="1" applyBorder="1" applyAlignment="1">
      <alignment horizontal="right" vertical="top" wrapText="1"/>
    </xf>
    <xf numFmtId="3" fontId="30" fillId="0" borderId="1" xfId="0" applyNumberFormat="1" applyFont="1" applyFill="1" applyBorder="1" applyAlignment="1">
      <alignment vertical="center"/>
    </xf>
    <xf numFmtId="0" fontId="30" fillId="0" borderId="2" xfId="0" applyFont="1" applyFill="1" applyBorder="1"/>
    <xf numFmtId="9" fontId="31" fillId="0" borderId="2" xfId="0" applyNumberFormat="1" applyFont="1" applyFill="1" applyBorder="1" applyAlignment="1">
      <alignment horizontal="right" vertical="top" wrapText="1"/>
    </xf>
    <xf numFmtId="3" fontId="30" fillId="0" borderId="2" xfId="0" applyNumberFormat="1" applyFont="1" applyFill="1" applyBorder="1"/>
    <xf numFmtId="0" fontId="32" fillId="0" borderId="12" xfId="0" applyNumberFormat="1" applyFont="1" applyFill="1" applyBorder="1" applyAlignment="1">
      <alignment horizontal="center" vertical="center"/>
    </xf>
    <xf numFmtId="0" fontId="17" fillId="0" borderId="12" xfId="0" applyFont="1" applyFill="1" applyBorder="1" applyAlignment="1">
      <alignment horizontal="justify" vertical="top" wrapText="1"/>
    </xf>
    <xf numFmtId="0" fontId="32" fillId="0" borderId="12" xfId="0" applyFont="1" applyFill="1" applyBorder="1"/>
    <xf numFmtId="0" fontId="17" fillId="0" borderId="12" xfId="0" applyFont="1" applyFill="1" applyBorder="1" applyAlignment="1">
      <alignment horizontal="right" vertical="top" wrapText="1"/>
    </xf>
    <xf numFmtId="3" fontId="30" fillId="0" borderId="12" xfId="0" applyNumberFormat="1" applyFont="1" applyFill="1" applyBorder="1"/>
    <xf numFmtId="0" fontId="30" fillId="0" borderId="12" xfId="0" applyFont="1" applyFill="1" applyBorder="1"/>
    <xf numFmtId="0" fontId="32" fillId="0" borderId="0" xfId="0" applyNumberFormat="1" applyFont="1" applyFill="1" applyBorder="1" applyAlignment="1">
      <alignment horizontal="center" vertical="center"/>
    </xf>
    <xf numFmtId="0" fontId="17" fillId="0" borderId="0" xfId="0" applyFont="1" applyFill="1" applyBorder="1" applyAlignment="1">
      <alignment horizontal="justify" vertical="top" wrapText="1"/>
    </xf>
    <xf numFmtId="0" fontId="32" fillId="0" borderId="0" xfId="0" applyFont="1" applyFill="1" applyBorder="1"/>
    <xf numFmtId="0" fontId="30" fillId="0" borderId="0" xfId="0" applyFont="1" applyFill="1" applyBorder="1" applyAlignment="1">
      <alignment horizontal="justify" vertical="top" wrapText="1"/>
    </xf>
    <xf numFmtId="3" fontId="30" fillId="0" borderId="0" xfId="0" applyNumberFormat="1" applyFont="1" applyFill="1" applyBorder="1"/>
    <xf numFmtId="0" fontId="30" fillId="0" borderId="0" xfId="0" applyFont="1" applyFill="1" applyBorder="1"/>
    <xf numFmtId="0" fontId="27" fillId="0" borderId="0" xfId="0" applyFont="1" applyFill="1" applyAlignment="1">
      <alignment horizontal="center"/>
    </xf>
    <xf numFmtId="0" fontId="17"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3" xfId="0" applyFont="1" applyFill="1" applyBorder="1" applyAlignment="1">
      <alignment horizontal="center"/>
    </xf>
    <xf numFmtId="0" fontId="17" fillId="0" borderId="14" xfId="0" applyFont="1" applyFill="1" applyBorder="1" applyAlignment="1">
      <alignment horizontal="center"/>
    </xf>
    <xf numFmtId="0" fontId="17" fillId="0" borderId="15" xfId="0" applyFont="1" applyFill="1" applyBorder="1" applyAlignment="1">
      <alignment horizontal="center"/>
    </xf>
    <xf numFmtId="0" fontId="17" fillId="0" borderId="13" xfId="0" applyFont="1" applyFill="1" applyBorder="1" applyAlignment="1">
      <alignment horizontal="center" vertical="top" wrapText="1"/>
    </xf>
    <xf numFmtId="0" fontId="17" fillId="0" borderId="15" xfId="0" applyFont="1" applyFill="1" applyBorder="1" applyAlignment="1">
      <alignment horizontal="center" vertical="top" wrapText="1"/>
    </xf>
    <xf numFmtId="0" fontId="4" fillId="0" borderId="0" xfId="0" applyFont="1" applyAlignment="1">
      <alignment horizontal="center"/>
    </xf>
    <xf numFmtId="0" fontId="24" fillId="2" borderId="19" xfId="0" applyFont="1" applyFill="1" applyBorder="1" applyAlignment="1">
      <alignment horizontal="left" vertical="center" wrapText="1"/>
    </xf>
    <xf numFmtId="0" fontId="24" fillId="2" borderId="23" xfId="0" applyFont="1" applyFill="1" applyBorder="1" applyAlignment="1">
      <alignment horizontal="left" vertical="center" wrapText="1"/>
    </xf>
    <xf numFmtId="0" fontId="24" fillId="2" borderId="25"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4" fillId="2" borderId="22" xfId="0" applyFont="1" applyFill="1" applyBorder="1" applyAlignment="1">
      <alignment horizontal="left" vertical="center" wrapText="1"/>
    </xf>
    <xf numFmtId="0" fontId="7" fillId="0" borderId="0" xfId="0" applyFont="1" applyAlignment="1">
      <alignment horizont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31"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1" fillId="0" borderId="0" xfId="0" applyFont="1" applyAlignment="1">
      <alignment vertical="center"/>
    </xf>
    <xf numFmtId="0" fontId="28" fillId="0" borderId="0" xfId="0" applyFont="1" applyFill="1" applyAlignment="1">
      <alignment horizontal="center" vertical="center"/>
    </xf>
    <xf numFmtId="0" fontId="1" fillId="0" borderId="0" xfId="0" applyFont="1" applyAlignment="1">
      <alignment horizontal="center" vertical="center"/>
    </xf>
    <xf numFmtId="0" fontId="17" fillId="0" borderId="1" xfId="0" applyFont="1" applyFill="1" applyBorder="1" applyAlignment="1">
      <alignment horizontal="center"/>
    </xf>
    <xf numFmtId="0" fontId="30" fillId="0" borderId="1" xfId="0" applyFont="1" applyFill="1" applyBorder="1"/>
    <xf numFmtId="3" fontId="17" fillId="0" borderId="1" xfId="0" applyNumberFormat="1" applyFont="1" applyFill="1" applyBorder="1" applyAlignment="1">
      <alignment horizontal="center" vertical="center"/>
    </xf>
    <xf numFmtId="0" fontId="17" fillId="0" borderId="1" xfId="0" applyFont="1" applyFill="1" applyBorder="1"/>
    <xf numFmtId="3" fontId="17" fillId="0" borderId="1" xfId="0" applyNumberFormat="1" applyFont="1" applyFill="1" applyBorder="1"/>
    <xf numFmtId="0" fontId="31" fillId="0" borderId="1" xfId="0" applyFont="1" applyFill="1" applyBorder="1" applyAlignment="1">
      <alignment horizontal="center" vertical="center" wrapText="1"/>
    </xf>
    <xf numFmtId="0" fontId="31" fillId="0" borderId="1" xfId="0" applyFont="1" applyFill="1" applyBorder="1" applyAlignment="1">
      <alignment horizontal="justify" vertical="top" wrapText="1"/>
    </xf>
    <xf numFmtId="3" fontId="31" fillId="0" borderId="1" xfId="0" applyNumberFormat="1" applyFont="1" applyFill="1" applyBorder="1" applyAlignment="1">
      <alignment horizontal="right" vertical="center" wrapText="1"/>
    </xf>
    <xf numFmtId="0" fontId="33" fillId="0" borderId="1" xfId="0" applyFont="1" applyFill="1" applyBorder="1" applyAlignment="1">
      <alignment vertical="center"/>
    </xf>
    <xf numFmtId="0" fontId="31" fillId="0" borderId="1" xfId="0" applyFont="1" applyFill="1" applyBorder="1"/>
    <xf numFmtId="3" fontId="17" fillId="0" borderId="1" xfId="0" applyNumberFormat="1" applyFont="1" applyFill="1" applyBorder="1" applyAlignment="1">
      <alignment horizontal="right" vertical="center"/>
    </xf>
    <xf numFmtId="0" fontId="28" fillId="0" borderId="0" xfId="0" applyFont="1" applyFill="1" applyAlignment="1">
      <alignment horizontal="center"/>
    </xf>
    <xf numFmtId="0" fontId="1" fillId="0" borderId="0" xfId="0" applyFont="1" applyAlignment="1">
      <alignment horizontal="center"/>
    </xf>
    <xf numFmtId="0" fontId="5" fillId="0" borderId="1" xfId="0" applyFont="1" applyBorder="1" applyAlignment="1"/>
    <xf numFmtId="2" fontId="5" fillId="0" borderId="2" xfId="0" applyNumberFormat="1" applyFont="1" applyBorder="1" applyAlignment="1">
      <alignment horizontal="center" vertical="center"/>
    </xf>
    <xf numFmtId="0"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0" fillId="0" borderId="0" xfId="0" applyAlignment="1">
      <alignment horizontal="center"/>
    </xf>
    <xf numFmtId="0" fontId="24" fillId="2" borderId="17"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17" fillId="0" borderId="0" xfId="0" applyFont="1" applyAlignment="1">
      <alignment horizontal="center"/>
    </xf>
    <xf numFmtId="0" fontId="28" fillId="0" borderId="0" xfId="0" applyFont="1"/>
    <xf numFmtId="0" fontId="28" fillId="0" borderId="0" xfId="0" applyFont="1" applyAlignment="1">
      <alignment horizontal="center" vertical="center"/>
    </xf>
    <xf numFmtId="0" fontId="29" fillId="0" borderId="4" xfId="0" applyFont="1" applyBorder="1" applyAlignment="1">
      <alignment horizontal="center"/>
    </xf>
    <xf numFmtId="0" fontId="34" fillId="0" borderId="1" xfId="0" applyFont="1" applyBorder="1" applyAlignment="1">
      <alignment horizontal="center" vertical="center" wrapText="1"/>
    </xf>
    <xf numFmtId="0" fontId="35" fillId="0" borderId="1" xfId="0" applyFont="1" applyBorder="1" applyAlignment="1">
      <alignment horizontal="center" vertical="center"/>
    </xf>
    <xf numFmtId="9" fontId="35" fillId="0" borderId="1" xfId="0" applyNumberFormat="1" applyFont="1" applyBorder="1" applyAlignment="1">
      <alignment horizontal="center" vertical="center"/>
    </xf>
    <xf numFmtId="0" fontId="35" fillId="0" borderId="1" xfId="0" applyNumberFormat="1" applyFont="1" applyBorder="1" applyAlignment="1">
      <alignment horizontal="center" vertical="center"/>
    </xf>
    <xf numFmtId="0" fontId="34" fillId="0" borderId="1" xfId="0" applyFont="1" applyBorder="1" applyAlignment="1">
      <alignment horizontal="center"/>
    </xf>
    <xf numFmtId="0" fontId="18" fillId="0" borderId="1" xfId="0" applyFont="1" applyBorder="1" applyAlignment="1">
      <alignment horizontal="center" vertical="center"/>
    </xf>
    <xf numFmtId="0" fontId="18" fillId="0" borderId="1" xfId="0" applyFont="1" applyBorder="1"/>
    <xf numFmtId="3" fontId="18" fillId="0" borderId="1" xfId="0" applyNumberFormat="1" applyFont="1" applyBorder="1"/>
    <xf numFmtId="3" fontId="35" fillId="0" borderId="1" xfId="0" applyNumberFormat="1" applyFont="1" applyBorder="1"/>
    <xf numFmtId="3" fontId="34" fillId="0" borderId="1" xfId="0" applyNumberFormat="1" applyFont="1" applyBorder="1" applyAlignment="1">
      <alignment horizontal="center" vertical="center"/>
    </xf>
    <xf numFmtId="3" fontId="34" fillId="0" borderId="1" xfId="0" applyNumberFormat="1" applyFont="1" applyBorder="1"/>
    <xf numFmtId="0" fontId="18" fillId="0" borderId="1" xfId="0" applyFont="1" applyBorder="1" applyAlignment="1">
      <alignment horizontal="center"/>
    </xf>
    <xf numFmtId="0" fontId="18" fillId="0" borderId="1" xfId="0" applyFont="1" applyBorder="1" applyAlignment="1">
      <alignment horizontal="left"/>
    </xf>
    <xf numFmtId="167" fontId="18" fillId="0" borderId="1" xfId="0" applyNumberFormat="1" applyFont="1" applyBorder="1" applyAlignment="1">
      <alignment horizontal="center" vertical="center"/>
    </xf>
    <xf numFmtId="0" fontId="18" fillId="0" borderId="1" xfId="0" applyFont="1" applyBorder="1" applyAlignment="1">
      <alignment horizontal="justify" vertical="top" wrapText="1"/>
    </xf>
    <xf numFmtId="0" fontId="18" fillId="0" borderId="1" xfId="0" applyNumberFormat="1" applyFont="1" applyBorder="1" applyAlignment="1">
      <alignment horizontal="center" vertical="center"/>
    </xf>
    <xf numFmtId="3" fontId="18" fillId="0" borderId="1" xfId="0" applyNumberFormat="1" applyFont="1" applyBorder="1" applyAlignment="1">
      <alignment vertical="center"/>
    </xf>
    <xf numFmtId="0" fontId="34" fillId="0" borderId="1" xfId="0" applyFont="1" applyBorder="1"/>
    <xf numFmtId="3" fontId="28" fillId="0" borderId="0" xfId="0" applyNumberFormat="1" applyFont="1"/>
    <xf numFmtId="0" fontId="17" fillId="0" borderId="0" xfId="0" applyFont="1" applyFill="1" applyAlignment="1">
      <alignment horizontal="center"/>
    </xf>
    <xf numFmtId="0" fontId="29" fillId="0" borderId="0" xfId="0" applyFont="1" applyFill="1" applyBorder="1" applyAlignment="1">
      <alignment horizont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xf>
    <xf numFmtId="0" fontId="28" fillId="0" borderId="1" xfId="0" applyFont="1" applyFill="1" applyBorder="1"/>
    <xf numFmtId="0" fontId="34" fillId="0" borderId="1" xfId="0" applyFont="1" applyFill="1" applyBorder="1" applyAlignment="1">
      <alignment horizontal="center" vertical="center"/>
    </xf>
    <xf numFmtId="3" fontId="34" fillId="0" borderId="1" xfId="0" applyNumberFormat="1" applyFont="1" applyFill="1" applyBorder="1" applyAlignment="1">
      <alignment horizontal="center" vertical="center"/>
    </xf>
    <xf numFmtId="0" fontId="18" fillId="0" borderId="1" xfId="0" applyFont="1" applyFill="1" applyBorder="1" applyAlignment="1">
      <alignment vertical="center"/>
    </xf>
    <xf numFmtId="3" fontId="18" fillId="0" borderId="1" xfId="0" applyNumberFormat="1" applyFont="1" applyFill="1" applyBorder="1" applyAlignment="1">
      <alignment vertical="center"/>
    </xf>
    <xf numFmtId="0" fontId="18" fillId="0" borderId="1" xfId="0" applyFont="1" applyFill="1" applyBorder="1" applyAlignment="1">
      <alignment horizontal="justify" vertical="center" wrapText="1"/>
    </xf>
    <xf numFmtId="0" fontId="35" fillId="0" borderId="1" xfId="0" applyFont="1" applyFill="1" applyBorder="1" applyAlignment="1">
      <alignment vertical="center"/>
    </xf>
    <xf numFmtId="0" fontId="35" fillId="0" borderId="1" xfId="0" applyFont="1" applyFill="1" applyBorder="1" applyAlignment="1">
      <alignment horizontal="justify" vertical="center" wrapText="1"/>
    </xf>
    <xf numFmtId="3" fontId="35" fillId="0" borderId="1" xfId="0" applyNumberFormat="1" applyFont="1" applyFill="1" applyBorder="1" applyAlignment="1">
      <alignment vertical="center"/>
    </xf>
    <xf numFmtId="1" fontId="35" fillId="0" borderId="2" xfId="0" applyNumberFormat="1" applyFont="1" applyFill="1" applyBorder="1"/>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28" fillId="0" borderId="1" xfId="0" applyFont="1" applyFill="1" applyBorder="1" applyAlignment="1">
      <alignment horizontal="center" vertical="center"/>
    </xf>
    <xf numFmtId="3" fontId="18" fillId="0" borderId="1" xfId="0" applyNumberFormat="1" applyFont="1" applyFill="1" applyBorder="1" applyAlignment="1">
      <alignment horizontal="center" vertical="center"/>
    </xf>
    <xf numFmtId="0" fontId="7" fillId="0" borderId="0" xfId="0" applyFont="1" applyAlignment="1">
      <alignment horizontal="center" vertical="center"/>
    </xf>
    <xf numFmtId="3" fontId="5" fillId="0" borderId="1" xfId="0" applyNumberFormat="1" applyFont="1" applyBorder="1" applyAlignment="1">
      <alignment horizontal="center" vertical="center"/>
    </xf>
    <xf numFmtId="3" fontId="5" fillId="0" borderId="0" xfId="0" applyNumberFormat="1" applyFont="1" applyBorder="1" applyAlignment="1">
      <alignment horizontal="center" vertical="center"/>
    </xf>
    <xf numFmtId="165" fontId="10" fillId="0" borderId="1" xfId="0" applyNumberFormat="1" applyFont="1" applyBorder="1" applyAlignment="1">
      <alignment horizontal="center"/>
    </xf>
    <xf numFmtId="0" fontId="10" fillId="0" borderId="1" xfId="0" applyFont="1" applyBorder="1" applyAlignment="1"/>
    <xf numFmtId="0" fontId="11" fillId="0" borderId="0"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xf>
    <xf numFmtId="0" fontId="11" fillId="0" borderId="1" xfId="0" applyFont="1" applyBorder="1" applyAlignment="1">
      <alignment horizontal="center" vertical="center"/>
    </xf>
    <xf numFmtId="0" fontId="4" fillId="0" borderId="1" xfId="0" applyFont="1" applyBorder="1"/>
    <xf numFmtId="3" fontId="4" fillId="0" borderId="1" xfId="0" applyNumberFormat="1" applyFont="1" applyBorder="1"/>
    <xf numFmtId="0" fontId="1" fillId="0" borderId="1" xfId="0" applyFont="1" applyBorder="1" applyAlignment="1">
      <alignment horizontal="justify" vertical="top" wrapText="1"/>
    </xf>
    <xf numFmtId="3" fontId="1" fillId="0" borderId="1" xfId="0" applyNumberFormat="1" applyFont="1"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3" fontId="4" fillId="0" borderId="1" xfId="0" applyNumberFormat="1" applyFont="1" applyBorder="1" applyAlignment="1">
      <alignment horizontal="center" vertical="center"/>
    </xf>
    <xf numFmtId="0" fontId="36" fillId="0" borderId="1" xfId="0" applyFont="1" applyBorder="1" applyAlignment="1">
      <alignment vertical="center"/>
    </xf>
    <xf numFmtId="0" fontId="1" fillId="0" borderId="1" xfId="0" applyNumberFormat="1" applyFont="1" applyBorder="1" applyAlignment="1">
      <alignment horizontal="center" vertical="center"/>
    </xf>
    <xf numFmtId="0" fontId="36" fillId="0" borderId="1" xfId="0" applyFont="1" applyBorder="1" applyAlignment="1">
      <alignment vertical="center" wrapText="1"/>
    </xf>
    <xf numFmtId="3" fontId="1" fillId="0" borderId="1" xfId="0" applyNumberFormat="1" applyFont="1" applyBorder="1" applyAlignment="1">
      <alignment vertical="center"/>
    </xf>
    <xf numFmtId="0" fontId="13" fillId="0" borderId="9" xfId="0" applyFont="1" applyBorder="1" applyAlignment="1">
      <alignment horizontal="center" vertical="center"/>
    </xf>
    <xf numFmtId="0" fontId="4" fillId="0" borderId="9" xfId="0" applyFont="1" applyBorder="1" applyAlignment="1">
      <alignment horizontal="center" vertical="center"/>
    </xf>
    <xf numFmtId="0" fontId="1" fillId="0" borderId="2" xfId="0" applyFont="1" applyBorder="1"/>
    <xf numFmtId="166" fontId="1" fillId="0" borderId="2" xfId="0" applyNumberFormat="1" applyFont="1" applyBorder="1"/>
    <xf numFmtId="168" fontId="1" fillId="0" borderId="2" xfId="2" applyNumberFormat="1" applyFont="1" applyBorder="1"/>
    <xf numFmtId="0" fontId="1" fillId="0" borderId="2" xfId="0" applyNumberFormat="1" applyFont="1" applyBorder="1" applyAlignment="1">
      <alignment vertical="center"/>
    </xf>
    <xf numFmtId="168" fontId="1" fillId="0" borderId="2" xfId="2" applyNumberFormat="1" applyFont="1" applyBorder="1" applyAlignment="1">
      <alignment vertical="center"/>
    </xf>
    <xf numFmtId="0" fontId="1" fillId="0" borderId="2" xfId="0" applyFont="1" applyBorder="1" applyAlignment="1">
      <alignment horizontal="justify" vertical="top" wrapText="1"/>
    </xf>
    <xf numFmtId="0" fontId="1" fillId="0" borderId="3" xfId="0" applyFont="1" applyBorder="1"/>
    <xf numFmtId="166" fontId="1" fillId="0" borderId="3" xfId="0" applyNumberFormat="1" applyFont="1" applyBorder="1"/>
    <xf numFmtId="168" fontId="1" fillId="0" borderId="3" xfId="2" applyNumberFormat="1" applyFont="1" applyBorder="1"/>
    <xf numFmtId="168" fontId="4" fillId="0" borderId="1" xfId="2" applyNumberFormat="1" applyFont="1" applyBorder="1" applyAlignment="1">
      <alignment horizontal="center" vertical="center" wrapText="1"/>
    </xf>
    <xf numFmtId="168" fontId="11" fillId="0" borderId="1" xfId="2" applyNumberFormat="1" applyFont="1" applyBorder="1" applyAlignment="1">
      <alignment horizontal="center" vertical="center"/>
    </xf>
    <xf numFmtId="168" fontId="4" fillId="0" borderId="9" xfId="2" applyNumberFormat="1"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3" fontId="4" fillId="0" borderId="9" xfId="0" applyNumberFormat="1" applyFont="1" applyBorder="1" applyAlignment="1">
      <alignment horizontal="right" vertical="center"/>
    </xf>
    <xf numFmtId="3" fontId="1" fillId="0" borderId="2" xfId="0" applyNumberFormat="1" applyFont="1" applyBorder="1" applyAlignment="1">
      <alignment horizontal="right"/>
    </xf>
    <xf numFmtId="3" fontId="1" fillId="0" borderId="3" xfId="0" applyNumberFormat="1" applyFont="1" applyBorder="1" applyAlignment="1">
      <alignment horizontal="right"/>
    </xf>
    <xf numFmtId="0" fontId="1" fillId="0" borderId="0" xfId="0" applyFont="1" applyAlignment="1">
      <alignment horizontal="right"/>
    </xf>
    <xf numFmtId="0" fontId="4" fillId="0" borderId="1" xfId="0" applyFont="1" applyBorder="1" applyAlignment="1">
      <alignment horizontal="right"/>
    </xf>
    <xf numFmtId="0" fontId="4" fillId="0" borderId="1" xfId="0" applyFont="1" applyBorder="1" applyAlignment="1">
      <alignment horizontal="right" vertical="center"/>
    </xf>
    <xf numFmtId="0" fontId="11" fillId="0" borderId="1" xfId="0" applyFont="1" applyBorder="1" applyAlignment="1">
      <alignment horizontal="right" vertical="center"/>
    </xf>
    <xf numFmtId="0" fontId="4" fillId="0" borderId="9" xfId="0" applyFont="1" applyBorder="1" applyAlignment="1">
      <alignment horizontal="center" vertical="center" wrapText="1"/>
    </xf>
    <xf numFmtId="0" fontId="11" fillId="0" borderId="2" xfId="0" applyFont="1" applyBorder="1" applyAlignment="1">
      <alignment horizontal="center" vertical="center"/>
    </xf>
    <xf numFmtId="0" fontId="4" fillId="0" borderId="2" xfId="0" applyFont="1" applyBorder="1" applyAlignment="1">
      <alignment horizontal="center" vertical="center"/>
    </xf>
    <xf numFmtId="3" fontId="1" fillId="0" borderId="2" xfId="0" applyNumberFormat="1" applyFont="1" applyBorder="1" applyAlignment="1">
      <alignment horizontal="center" vertical="center"/>
    </xf>
    <xf numFmtId="3" fontId="4"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1" fillId="0" borderId="2" xfId="0" applyFont="1" applyBorder="1" applyAlignment="1">
      <alignment vertical="center"/>
    </xf>
    <xf numFmtId="0" fontId="4" fillId="0" borderId="2" xfId="0" applyFont="1" applyBorder="1" applyAlignment="1">
      <alignment vertical="center"/>
    </xf>
    <xf numFmtId="3" fontId="4" fillId="0" borderId="2" xfId="0" applyNumberFormat="1" applyFont="1" applyBorder="1" applyAlignment="1">
      <alignment vertical="center"/>
    </xf>
    <xf numFmtId="0" fontId="1" fillId="0" borderId="2"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36" fillId="2" borderId="2" xfId="0" applyFont="1" applyFill="1" applyBorder="1" applyAlignment="1">
      <alignment vertical="center" wrapText="1"/>
    </xf>
    <xf numFmtId="0" fontId="4" fillId="0" borderId="0" xfId="0" applyFont="1" applyAlignment="1">
      <alignment vertical="center"/>
    </xf>
    <xf numFmtId="0" fontId="36" fillId="2" borderId="3" xfId="0" applyFont="1" applyFill="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4" fillId="0" borderId="2" xfId="0" applyFont="1" applyBorder="1" applyAlignment="1">
      <alignment vertical="center" wrapText="1"/>
    </xf>
  </cellXfs>
  <cellStyles count="4">
    <cellStyle name="Comma" xfId="2" builtinId="3"/>
    <cellStyle name="Hyperlink" xfId="3" builtinId="8"/>
    <cellStyle name="Normal" xfId="0" builtinId="0"/>
    <cellStyle name="Normal_CP TGPTGT" xfId="1" xr:uid="{CCC292ED-EA57-4673-95B3-EB79B68311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mayphatdienvogia.com/may-phat-dien/may-phat-dien-300-kva/" TargetMode="External"/><Relationship Id="rId13" Type="http://schemas.openxmlformats.org/officeDocument/2006/relationships/hyperlink" Target="https://mayphatdienvogia.com/may-phat-dien/may-phat-dien-600kva/" TargetMode="External"/><Relationship Id="rId18" Type="http://schemas.openxmlformats.org/officeDocument/2006/relationships/hyperlink" Target="https://mayphatdienvogia.com/may-phat-dien/may-phat-dien-1500kva/" TargetMode="External"/><Relationship Id="rId3" Type="http://schemas.openxmlformats.org/officeDocument/2006/relationships/hyperlink" Target="https://mayphatdienvogia.com/may-phat-dien/may-phat-dien-50kva/" TargetMode="External"/><Relationship Id="rId21" Type="http://schemas.openxmlformats.org/officeDocument/2006/relationships/hyperlink" Target="https://mayphatdienvogia.com/" TargetMode="External"/><Relationship Id="rId7" Type="http://schemas.openxmlformats.org/officeDocument/2006/relationships/hyperlink" Target="https://mayphatdienvogia.com/may-phat-dien/may-phat-dien-250-kva/" TargetMode="External"/><Relationship Id="rId12" Type="http://schemas.openxmlformats.org/officeDocument/2006/relationships/hyperlink" Target="https://mayphatdienvogia.com/may-phat-dien/may-phat-dien-500-kva/" TargetMode="External"/><Relationship Id="rId17" Type="http://schemas.openxmlformats.org/officeDocument/2006/relationships/hyperlink" Target="https://mayphatdienvogia.com/may-phat-dien/may-phat-dien-1250kva/" TargetMode="External"/><Relationship Id="rId2" Type="http://schemas.openxmlformats.org/officeDocument/2006/relationships/hyperlink" Target="https://mayphatdienvogia.com/may-phat-dien/may-phat-dien-30kva/" TargetMode="External"/><Relationship Id="rId16" Type="http://schemas.openxmlformats.org/officeDocument/2006/relationships/hyperlink" Target="https://mayphatdienvogia.com/may-phat-dien/may-phat-dien-1000-kva/" TargetMode="External"/><Relationship Id="rId20" Type="http://schemas.openxmlformats.org/officeDocument/2006/relationships/hyperlink" Target="https://mayphatdienvogia.com/may-phat-dien/may-phat-dien-2250kva/" TargetMode="External"/><Relationship Id="rId1" Type="http://schemas.openxmlformats.org/officeDocument/2006/relationships/hyperlink" Target="https://mayphatdienvogia.com/may-phat-dien-chay-dau/" TargetMode="External"/><Relationship Id="rId6" Type="http://schemas.openxmlformats.org/officeDocument/2006/relationships/hyperlink" Target="https://mayphatdienvogia.com/may-phat-dien/may-phat-dien-200kva/" TargetMode="External"/><Relationship Id="rId11" Type="http://schemas.openxmlformats.org/officeDocument/2006/relationships/hyperlink" Target="https://mayphatdienvogia.com/may-phat-dien/may-phat-dien-450kva/" TargetMode="External"/><Relationship Id="rId5" Type="http://schemas.openxmlformats.org/officeDocument/2006/relationships/hyperlink" Target="https://mayphatdienvogia.com/may-phat-dien/may-phat-dien-150-kva/" TargetMode="External"/><Relationship Id="rId15" Type="http://schemas.openxmlformats.org/officeDocument/2006/relationships/hyperlink" Target="https://mayphatdienvogia.com/may-phat-dien/may-phat-dien-800kva/" TargetMode="External"/><Relationship Id="rId23" Type="http://schemas.openxmlformats.org/officeDocument/2006/relationships/printerSettings" Target="../printerSettings/printerSettings3.bin"/><Relationship Id="rId10" Type="http://schemas.openxmlformats.org/officeDocument/2006/relationships/hyperlink" Target="https://mayphatdienvogia.com/may-phat-dien/may-phat-dien-400-kva/" TargetMode="External"/><Relationship Id="rId19" Type="http://schemas.openxmlformats.org/officeDocument/2006/relationships/hyperlink" Target="https://mayphatdienvogia.com/may-phat-dien/may-phat-dien-2000-kva/" TargetMode="External"/><Relationship Id="rId4" Type="http://schemas.openxmlformats.org/officeDocument/2006/relationships/hyperlink" Target="https://mayphatdienvogia.com/may-phat-dien/may-phat-dien-100-kva/" TargetMode="External"/><Relationship Id="rId9" Type="http://schemas.openxmlformats.org/officeDocument/2006/relationships/hyperlink" Target="https://mayphatdienvogia.com/may-phat-dien/may-phat-dien-350kva/" TargetMode="External"/><Relationship Id="rId14" Type="http://schemas.openxmlformats.org/officeDocument/2006/relationships/hyperlink" Target="https://mayphatdienvogia.com/may-phat-dien/may-phat-dien-750kva/" TargetMode="External"/><Relationship Id="rId22" Type="http://schemas.openxmlformats.org/officeDocument/2006/relationships/hyperlink" Target="https://mayphatdienvogia.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opLeftCell="A22" zoomScale="85" zoomScaleNormal="85" workbookViewId="0">
      <selection activeCell="P36" sqref="P36"/>
    </sheetView>
  </sheetViews>
  <sheetFormatPr defaultColWidth="9.109375" defaultRowHeight="18" x14ac:dyDescent="0.35"/>
  <cols>
    <col min="1" max="1" width="5.109375" style="39" bestFit="1" customWidth="1"/>
    <col min="2" max="2" width="32.88671875" style="1" customWidth="1"/>
    <col min="3" max="3" width="6.44140625" style="1" customWidth="1"/>
    <col min="4" max="4" width="13.21875" style="1" customWidth="1"/>
    <col min="5" max="7" width="14.6640625" style="1" customWidth="1"/>
    <col min="8" max="8" width="16.21875" style="1" customWidth="1"/>
    <col min="9" max="9" width="12.33203125" style="1" customWidth="1"/>
    <col min="10" max="16384" width="9.109375" style="1"/>
  </cols>
  <sheetData>
    <row r="1" spans="1:11" x14ac:dyDescent="0.35">
      <c r="A1" s="135" t="s">
        <v>119</v>
      </c>
      <c r="B1" s="135"/>
      <c r="C1" s="135"/>
      <c r="D1" s="135"/>
      <c r="E1" s="135"/>
      <c r="F1" s="135"/>
      <c r="G1" s="135"/>
      <c r="H1" s="135"/>
      <c r="I1" s="135"/>
    </row>
    <row r="2" spans="1:11" x14ac:dyDescent="0.35">
      <c r="A2" s="135" t="s">
        <v>246</v>
      </c>
      <c r="B2" s="135"/>
      <c r="C2" s="135"/>
      <c r="D2" s="135"/>
      <c r="E2" s="135"/>
      <c r="F2" s="135"/>
      <c r="G2" s="135"/>
      <c r="H2" s="135"/>
      <c r="I2" s="135"/>
    </row>
    <row r="3" spans="1:11" x14ac:dyDescent="0.35">
      <c r="A3" s="70"/>
      <c r="B3" s="71"/>
      <c r="C3" s="71"/>
      <c r="D3" s="71"/>
      <c r="E3" s="71"/>
      <c r="F3" s="71"/>
      <c r="G3" s="71"/>
      <c r="H3" s="71"/>
      <c r="I3" s="71"/>
    </row>
    <row r="4" spans="1:11" x14ac:dyDescent="0.35">
      <c r="A4" s="70"/>
      <c r="B4" s="71"/>
      <c r="C4" s="71"/>
      <c r="D4" s="71"/>
      <c r="E4" s="72" t="s">
        <v>2</v>
      </c>
      <c r="F4" s="72"/>
      <c r="G4" s="72"/>
      <c r="H4" s="72"/>
      <c r="I4" s="71"/>
    </row>
    <row r="5" spans="1:11" x14ac:dyDescent="0.35">
      <c r="A5" s="137" t="s">
        <v>3</v>
      </c>
      <c r="B5" s="136" t="s">
        <v>52</v>
      </c>
      <c r="C5" s="136" t="s">
        <v>15</v>
      </c>
      <c r="D5" s="136" t="s">
        <v>120</v>
      </c>
      <c r="E5" s="138" t="s">
        <v>121</v>
      </c>
      <c r="F5" s="139"/>
      <c r="G5" s="139"/>
      <c r="H5" s="140"/>
      <c r="I5" s="136" t="s">
        <v>9</v>
      </c>
      <c r="J5" s="2"/>
    </row>
    <row r="6" spans="1:11" x14ac:dyDescent="0.35">
      <c r="A6" s="137"/>
      <c r="B6" s="136"/>
      <c r="C6" s="136"/>
      <c r="D6" s="136"/>
      <c r="E6" s="141" t="s">
        <v>241</v>
      </c>
      <c r="F6" s="142"/>
      <c r="G6" s="141" t="s">
        <v>247</v>
      </c>
      <c r="H6" s="142"/>
      <c r="I6" s="136"/>
      <c r="J6" s="2"/>
    </row>
    <row r="7" spans="1:11" x14ac:dyDescent="0.35">
      <c r="A7" s="73"/>
      <c r="B7" s="74"/>
      <c r="C7" s="74"/>
      <c r="D7" s="74"/>
      <c r="E7" s="75" t="s">
        <v>7</v>
      </c>
      <c r="F7" s="76" t="s">
        <v>8</v>
      </c>
      <c r="G7" s="75" t="s">
        <v>7</v>
      </c>
      <c r="H7" s="76" t="s">
        <v>8</v>
      </c>
      <c r="I7" s="74"/>
      <c r="J7" s="2"/>
    </row>
    <row r="8" spans="1:11" ht="19.5" customHeight="1" x14ac:dyDescent="0.35">
      <c r="A8" s="77">
        <v>1</v>
      </c>
      <c r="B8" s="78">
        <v>2</v>
      </c>
      <c r="C8" s="78">
        <v>3</v>
      </c>
      <c r="D8" s="78">
        <v>4</v>
      </c>
      <c r="E8" s="78">
        <v>5</v>
      </c>
      <c r="F8" s="78">
        <v>6</v>
      </c>
      <c r="G8" s="78">
        <v>5</v>
      </c>
      <c r="H8" s="78">
        <v>6</v>
      </c>
      <c r="I8" s="78">
        <v>8</v>
      </c>
    </row>
    <row r="9" spans="1:11" s="31" customFormat="1" ht="31.2" x14ac:dyDescent="0.3">
      <c r="A9" s="79" t="s">
        <v>228</v>
      </c>
      <c r="B9" s="80" t="s">
        <v>122</v>
      </c>
      <c r="C9" s="81"/>
      <c r="D9" s="82" t="s">
        <v>232</v>
      </c>
      <c r="E9" s="83">
        <f>+E10+E13+E16+E19+E22+E27+E29</f>
        <v>97316177.877333328</v>
      </c>
      <c r="F9" s="83">
        <f>+F10+F13+F16+F19+F22+F27+F29</f>
        <v>1167794134.5279999</v>
      </c>
      <c r="G9" s="83">
        <f>+G10+G13+G16+G19+G22+G27+G29</f>
        <v>282474131.61533326</v>
      </c>
      <c r="H9" s="83">
        <f>+H10+H13+H16+H19+H22+H27+H29</f>
        <v>3389689579.3839998</v>
      </c>
      <c r="I9" s="80"/>
    </row>
    <row r="10" spans="1:11" s="31" customFormat="1" ht="17.399999999999999" x14ac:dyDescent="0.3">
      <c r="A10" s="84">
        <v>1</v>
      </c>
      <c r="B10" s="85" t="s">
        <v>175</v>
      </c>
      <c r="C10" s="86"/>
      <c r="D10" s="87" t="s">
        <v>224</v>
      </c>
      <c r="E10" s="88">
        <f>+E11+E12</f>
        <v>57306541.5</v>
      </c>
      <c r="F10" s="88">
        <f>+F11+F12</f>
        <v>687678498</v>
      </c>
      <c r="G10" s="88">
        <f>+G11+G12</f>
        <v>171703227</v>
      </c>
      <c r="H10" s="88">
        <f>+H11+H12</f>
        <v>2060438724</v>
      </c>
      <c r="I10" s="85"/>
    </row>
    <row r="11" spans="1:11" s="25" customFormat="1" ht="31.2" x14ac:dyDescent="0.35">
      <c r="A11" s="89" t="s">
        <v>177</v>
      </c>
      <c r="B11" s="90" t="s">
        <v>123</v>
      </c>
      <c r="C11" s="91"/>
      <c r="D11" s="92" t="s">
        <v>195</v>
      </c>
      <c r="E11" s="93">
        <f>'PL1'!G8</f>
        <v>57124914</v>
      </c>
      <c r="F11" s="93">
        <f>'PL1'!H8</f>
        <v>685498968</v>
      </c>
      <c r="G11" s="93">
        <f>'PL1'!G14</f>
        <v>171374742</v>
      </c>
      <c r="H11" s="93">
        <f>'PL1'!H14</f>
        <v>2056496904</v>
      </c>
      <c r="I11" s="94"/>
    </row>
    <row r="12" spans="1:11" s="25" customFormat="1" ht="31.2" x14ac:dyDescent="0.35">
      <c r="A12" s="89" t="s">
        <v>178</v>
      </c>
      <c r="B12" s="90" t="s">
        <v>124</v>
      </c>
      <c r="C12" s="91"/>
      <c r="D12" s="92" t="s">
        <v>196</v>
      </c>
      <c r="E12" s="95">
        <f>'PL2'!J9</f>
        <v>181627.5</v>
      </c>
      <c r="F12" s="95">
        <f>'PL2'!K9</f>
        <v>2179530</v>
      </c>
      <c r="G12" s="95">
        <f>'PL2'!J15</f>
        <v>328485</v>
      </c>
      <c r="H12" s="95">
        <f>'PL2'!K15</f>
        <v>3941820</v>
      </c>
      <c r="I12" s="94"/>
    </row>
    <row r="13" spans="1:11" s="24" customFormat="1" ht="31.2" x14ac:dyDescent="0.3">
      <c r="A13" s="96">
        <v>2</v>
      </c>
      <c r="B13" s="85" t="s">
        <v>220</v>
      </c>
      <c r="C13" s="97"/>
      <c r="D13" s="98" t="s">
        <v>197</v>
      </c>
      <c r="E13" s="99">
        <f>'PL3'!K15</f>
        <v>25893088</v>
      </c>
      <c r="F13" s="99">
        <f>'PL3'!L15</f>
        <v>310717056</v>
      </c>
      <c r="G13" s="99">
        <f>'PL3'!K9</f>
        <v>68606928</v>
      </c>
      <c r="H13" s="99">
        <f>'PL3'!L9</f>
        <v>823283136</v>
      </c>
      <c r="I13" s="97"/>
    </row>
    <row r="14" spans="1:11" s="25" customFormat="1" hidden="1" x14ac:dyDescent="0.35">
      <c r="A14" s="89"/>
      <c r="B14" s="90"/>
      <c r="C14" s="100"/>
      <c r="D14" s="92"/>
      <c r="E14" s="95"/>
      <c r="F14" s="95"/>
      <c r="G14" s="95"/>
      <c r="H14" s="95"/>
      <c r="I14" s="100"/>
      <c r="K14" s="41"/>
    </row>
    <row r="15" spans="1:11" s="25" customFormat="1" ht="46.8" hidden="1" x14ac:dyDescent="0.35">
      <c r="A15" s="89"/>
      <c r="B15" s="90" t="s">
        <v>221</v>
      </c>
      <c r="C15" s="100"/>
      <c r="D15" s="92" t="s">
        <v>197</v>
      </c>
      <c r="E15" s="95">
        <f>'PL3'!I9</f>
        <v>0</v>
      </c>
      <c r="F15" s="95">
        <f>+'PL3'!J9</f>
        <v>0</v>
      </c>
      <c r="G15" s="95">
        <f>'PL3'!K9</f>
        <v>68606928</v>
      </c>
      <c r="H15" s="95">
        <f>+'PL3'!L9</f>
        <v>823283136</v>
      </c>
      <c r="I15" s="100"/>
    </row>
    <row r="16" spans="1:11" s="24" customFormat="1" ht="31.2" x14ac:dyDescent="0.3">
      <c r="A16" s="96">
        <v>3</v>
      </c>
      <c r="B16" s="85" t="s">
        <v>163</v>
      </c>
      <c r="C16" s="97"/>
      <c r="D16" s="98"/>
      <c r="E16" s="99">
        <f>+E17+E18</f>
        <v>12763921.779999999</v>
      </c>
      <c r="F16" s="99">
        <f>+F17+F18</f>
        <v>153167061.35999998</v>
      </c>
      <c r="G16" s="99">
        <f>+G17+G18</f>
        <v>38707765.339999996</v>
      </c>
      <c r="H16" s="99">
        <f>+H17+H18</f>
        <v>464493184.07999998</v>
      </c>
      <c r="I16" s="97"/>
    </row>
    <row r="17" spans="1:16" x14ac:dyDescent="0.35">
      <c r="A17" s="101" t="s">
        <v>179</v>
      </c>
      <c r="B17" s="90" t="s">
        <v>164</v>
      </c>
      <c r="C17" s="100"/>
      <c r="D17" s="92" t="s">
        <v>198</v>
      </c>
      <c r="E17" s="95">
        <f>'PL4'!G7</f>
        <v>12555921.779999999</v>
      </c>
      <c r="F17" s="95">
        <f>'PL4'!H7</f>
        <v>150671061.35999998</v>
      </c>
      <c r="G17" s="95">
        <f>'PL4'!G20</f>
        <v>37667765.339999996</v>
      </c>
      <c r="H17" s="95">
        <f>'PL4'!H20</f>
        <v>452013184.07999998</v>
      </c>
      <c r="I17" s="102"/>
    </row>
    <row r="18" spans="1:16" ht="46.8" x14ac:dyDescent="0.35">
      <c r="A18" s="101" t="s">
        <v>180</v>
      </c>
      <c r="B18" s="103" t="s">
        <v>238</v>
      </c>
      <c r="C18" s="100"/>
      <c r="D18" s="104"/>
      <c r="E18" s="95">
        <f>10400*20</f>
        <v>208000</v>
      </c>
      <c r="F18" s="95">
        <f>+E18*12</f>
        <v>2496000</v>
      </c>
      <c r="G18" s="95">
        <f>10400*100</f>
        <v>1040000</v>
      </c>
      <c r="H18" s="95">
        <f>+G18*12</f>
        <v>12480000</v>
      </c>
      <c r="I18" s="90"/>
    </row>
    <row r="19" spans="1:16" s="24" customFormat="1" ht="46.8" x14ac:dyDescent="0.3">
      <c r="A19" s="96">
        <v>4</v>
      </c>
      <c r="B19" s="85" t="s">
        <v>165</v>
      </c>
      <c r="C19" s="97"/>
      <c r="D19" s="98"/>
      <c r="E19" s="99">
        <f>+E20+E21</f>
        <v>423577.08333333331</v>
      </c>
      <c r="F19" s="99">
        <f>+F20+F21</f>
        <v>5082925</v>
      </c>
      <c r="G19" s="99">
        <f>+G20+G21</f>
        <v>682150.00000000012</v>
      </c>
      <c r="H19" s="99">
        <f>+H20+H21</f>
        <v>8185800</v>
      </c>
      <c r="I19" s="97"/>
    </row>
    <row r="20" spans="1:16" s="25" customFormat="1" ht="31.2" x14ac:dyDescent="0.35">
      <c r="A20" s="89" t="s">
        <v>181</v>
      </c>
      <c r="B20" s="90" t="s">
        <v>166</v>
      </c>
      <c r="C20" s="100"/>
      <c r="D20" s="92" t="s">
        <v>199</v>
      </c>
      <c r="E20" s="105">
        <f>'PL5'!H7</f>
        <v>344327.08333333331</v>
      </c>
      <c r="F20" s="105">
        <f>'PL5'!I7</f>
        <v>4131925</v>
      </c>
      <c r="G20" s="105">
        <f>'PL5'!H31</f>
        <v>602900.00000000012</v>
      </c>
      <c r="H20" s="105">
        <f>'PL5'!I31</f>
        <v>7234800</v>
      </c>
      <c r="I20" s="100"/>
    </row>
    <row r="21" spans="1:16" s="25" customFormat="1" ht="31.2" x14ac:dyDescent="0.35">
      <c r="A21" s="89" t="s">
        <v>182</v>
      </c>
      <c r="B21" s="90" t="s">
        <v>167</v>
      </c>
      <c r="C21" s="100"/>
      <c r="D21" s="92" t="s">
        <v>199</v>
      </c>
      <c r="E21" s="105">
        <f>'PL5'!H20</f>
        <v>79250.000000000015</v>
      </c>
      <c r="F21" s="105">
        <f>'PL5'!I20</f>
        <v>951000</v>
      </c>
      <c r="G21" s="105">
        <f>'PL5'!H44</f>
        <v>79250.000000000015</v>
      </c>
      <c r="H21" s="105">
        <f>'PL5'!I44</f>
        <v>951000</v>
      </c>
      <c r="I21" s="100"/>
    </row>
    <row r="22" spans="1:16" s="24" customFormat="1" ht="17.399999999999999" x14ac:dyDescent="0.3">
      <c r="A22" s="96">
        <v>5</v>
      </c>
      <c r="B22" s="85" t="s">
        <v>171</v>
      </c>
      <c r="C22" s="97"/>
      <c r="D22" s="98"/>
      <c r="E22" s="99">
        <f>+E23+E24+E25+E26</f>
        <v>589701.18066666671</v>
      </c>
      <c r="F22" s="99">
        <f>+F23+F24+F25+F26</f>
        <v>7076414.1679999996</v>
      </c>
      <c r="G22" s="99">
        <f>+G23+G24+G25+G26</f>
        <v>2184712.9419999998</v>
      </c>
      <c r="H22" s="99">
        <f>+H23+H24+H25+H26</f>
        <v>26216555.303999998</v>
      </c>
      <c r="I22" s="97"/>
    </row>
    <row r="23" spans="1:16" s="25" customFormat="1" x14ac:dyDescent="0.35">
      <c r="A23" s="89" t="s">
        <v>183</v>
      </c>
      <c r="B23" s="90" t="s">
        <v>168</v>
      </c>
      <c r="C23" s="100"/>
      <c r="D23" s="106" t="s">
        <v>200</v>
      </c>
      <c r="E23" s="105">
        <f>'PL6'!F7</f>
        <v>5166.6666666666661</v>
      </c>
      <c r="F23" s="105">
        <f>'PL6'!G7</f>
        <v>62000</v>
      </c>
      <c r="G23" s="105">
        <f>'PL6'!F14</f>
        <v>21250</v>
      </c>
      <c r="H23" s="105">
        <f>'PL6'!G14</f>
        <v>255000</v>
      </c>
      <c r="I23" s="100"/>
    </row>
    <row r="24" spans="1:16" s="25" customFormat="1" x14ac:dyDescent="0.35">
      <c r="A24" s="89" t="s">
        <v>184</v>
      </c>
      <c r="B24" s="90" t="s">
        <v>169</v>
      </c>
      <c r="C24" s="100"/>
      <c r="D24" s="106" t="s">
        <v>201</v>
      </c>
      <c r="E24" s="105">
        <f>'PL7'!G7</f>
        <v>409859.39999999997</v>
      </c>
      <c r="F24" s="105">
        <f>'PL7'!H7</f>
        <v>4918312.7999999989</v>
      </c>
      <c r="G24" s="105">
        <f>'PL7'!G17</f>
        <v>1639437.5999999999</v>
      </c>
      <c r="H24" s="105">
        <f>'PL7'!H17</f>
        <v>19673251.199999996</v>
      </c>
      <c r="I24" s="100"/>
    </row>
    <row r="25" spans="1:16" s="25" customFormat="1" x14ac:dyDescent="0.35">
      <c r="A25" s="89" t="s">
        <v>185</v>
      </c>
      <c r="B25" s="90" t="s">
        <v>170</v>
      </c>
      <c r="C25" s="100"/>
      <c r="D25" s="106" t="s">
        <v>202</v>
      </c>
      <c r="E25" s="105">
        <f>'PL8'!G7</f>
        <v>143475.11400000003</v>
      </c>
      <c r="F25" s="105">
        <f>'PL8'!H7</f>
        <v>1721701.3680000005</v>
      </c>
      <c r="G25" s="105">
        <f>'PL8'!G16</f>
        <v>430425.342</v>
      </c>
      <c r="H25" s="105">
        <f>'PL8'!H16</f>
        <v>5165104.1040000003</v>
      </c>
      <c r="I25" s="100"/>
    </row>
    <row r="26" spans="1:16" s="25" customFormat="1" ht="31.2" x14ac:dyDescent="0.35">
      <c r="A26" s="89" t="s">
        <v>186</v>
      </c>
      <c r="B26" s="103" t="s">
        <v>239</v>
      </c>
      <c r="C26" s="107"/>
      <c r="D26" s="90"/>
      <c r="E26" s="108">
        <f>10400*1*3</f>
        <v>31200</v>
      </c>
      <c r="F26" s="108">
        <f>+E26*12</f>
        <v>374400</v>
      </c>
      <c r="G26" s="108">
        <f>10400*1*9</f>
        <v>93600</v>
      </c>
      <c r="H26" s="108">
        <f>+G26*12</f>
        <v>1123200</v>
      </c>
      <c r="I26" s="100"/>
    </row>
    <row r="27" spans="1:16" s="24" customFormat="1" ht="17.399999999999999" x14ac:dyDescent="0.3">
      <c r="A27" s="96">
        <v>6</v>
      </c>
      <c r="B27" s="85" t="s">
        <v>172</v>
      </c>
      <c r="C27" s="97"/>
      <c r="D27" s="85"/>
      <c r="E27" s="99">
        <f>+E28</f>
        <v>83333.333333333328</v>
      </c>
      <c r="F27" s="99">
        <f>+F28</f>
        <v>1000000</v>
      </c>
      <c r="G27" s="99">
        <f>+G28</f>
        <v>333333.33333333331</v>
      </c>
      <c r="H27" s="99">
        <f>+H28</f>
        <v>4000000</v>
      </c>
      <c r="I27" s="97"/>
    </row>
    <row r="28" spans="1:16" s="25" customFormat="1" ht="31.2" x14ac:dyDescent="0.35">
      <c r="A28" s="89"/>
      <c r="B28" s="90" t="s">
        <v>173</v>
      </c>
      <c r="C28" s="100"/>
      <c r="D28" s="90" t="s">
        <v>216</v>
      </c>
      <c r="E28" s="105">
        <f>+F28/12</f>
        <v>83333.333333333328</v>
      </c>
      <c r="F28" s="105">
        <v>1000000</v>
      </c>
      <c r="G28" s="105">
        <f>+H28/12</f>
        <v>333333.33333333331</v>
      </c>
      <c r="H28" s="105">
        <v>4000000</v>
      </c>
      <c r="I28" s="100"/>
    </row>
    <row r="29" spans="1:16" s="32" customFormat="1" x14ac:dyDescent="0.35">
      <c r="A29" s="109">
        <v>7</v>
      </c>
      <c r="B29" s="85" t="s">
        <v>174</v>
      </c>
      <c r="C29" s="110"/>
      <c r="D29" s="111" t="s">
        <v>240</v>
      </c>
      <c r="E29" s="112">
        <f>+F29/12</f>
        <v>256015</v>
      </c>
      <c r="F29" s="112">
        <f>H29</f>
        <v>3072180</v>
      </c>
      <c r="G29" s="112">
        <f>+H29/12</f>
        <v>256015</v>
      </c>
      <c r="H29" s="112">
        <f>+'PL9'!F5</f>
        <v>3072180</v>
      </c>
      <c r="I29" s="110"/>
    </row>
    <row r="30" spans="1:16" s="32" customFormat="1" ht="46.8" x14ac:dyDescent="0.35">
      <c r="A30" s="113" t="s">
        <v>229</v>
      </c>
      <c r="B30" s="69" t="s">
        <v>227</v>
      </c>
      <c r="C30" s="110"/>
      <c r="D30" s="114" t="s">
        <v>231</v>
      </c>
      <c r="E30" s="115">
        <f>+E9*3%</f>
        <v>2919485.3363199998</v>
      </c>
      <c r="F30" s="115">
        <f>+F9*3%</f>
        <v>35033824.035839997</v>
      </c>
      <c r="G30" s="115">
        <f>+G9*3%</f>
        <v>8474223.9484599978</v>
      </c>
      <c r="H30" s="115">
        <f>+H9*3%</f>
        <v>101690687.38151999</v>
      </c>
      <c r="I30" s="110"/>
    </row>
    <row r="31" spans="1:16" s="24" customFormat="1" ht="31.2" x14ac:dyDescent="0.3">
      <c r="A31" s="96" t="s">
        <v>230</v>
      </c>
      <c r="B31" s="85" t="s">
        <v>217</v>
      </c>
      <c r="C31" s="97"/>
      <c r="D31" s="86"/>
      <c r="E31" s="99">
        <f>401*50</f>
        <v>20050</v>
      </c>
      <c r="F31" s="99"/>
      <c r="G31" s="99">
        <f>568*50</f>
        <v>28400</v>
      </c>
      <c r="H31" s="99"/>
      <c r="I31" s="97"/>
      <c r="P31" s="42"/>
    </row>
    <row r="32" spans="1:16" s="32" customFormat="1" ht="31.2" x14ac:dyDescent="0.35">
      <c r="A32" s="116"/>
      <c r="B32" s="69" t="s">
        <v>225</v>
      </c>
      <c r="C32" s="117"/>
      <c r="D32" s="118" t="s">
        <v>233</v>
      </c>
      <c r="E32" s="119">
        <f>+(E9+E30)/E31</f>
        <v>4999.2849483118862</v>
      </c>
      <c r="F32" s="119">
        <f>+(F9+F30)/E31</f>
        <v>59991.419379742641</v>
      </c>
      <c r="G32" s="119">
        <f>+(G9+G30)/G31</f>
        <v>10244.660407175819</v>
      </c>
      <c r="H32" s="119">
        <f>+(H9+H30)/G31</f>
        <v>122935.92488610985</v>
      </c>
      <c r="I32" s="110"/>
    </row>
    <row r="33" spans="1:9" s="32" customFormat="1" ht="31.2" x14ac:dyDescent="0.35">
      <c r="A33" s="116"/>
      <c r="B33" s="69" t="s">
        <v>226</v>
      </c>
      <c r="C33" s="120"/>
      <c r="D33" s="121"/>
      <c r="E33" s="122">
        <f>+E32*1.1</f>
        <v>5499.213443143075</v>
      </c>
      <c r="F33" s="122">
        <f>+F32*1.1</f>
        <v>65990.561317716914</v>
      </c>
      <c r="G33" s="122">
        <f>+G32*1.1</f>
        <v>11269.126447893403</v>
      </c>
      <c r="H33" s="122">
        <f>+H32*1.1</f>
        <v>135229.51737472083</v>
      </c>
      <c r="I33" s="110"/>
    </row>
    <row r="34" spans="1:9" s="32" customFormat="1" x14ac:dyDescent="0.35">
      <c r="A34" s="123"/>
      <c r="B34" s="124"/>
      <c r="C34" s="125"/>
      <c r="D34" s="126"/>
      <c r="E34" s="127"/>
      <c r="F34" s="127"/>
      <c r="G34" s="127"/>
      <c r="H34" s="127"/>
      <c r="I34" s="128"/>
    </row>
    <row r="35" spans="1:9" s="32" customFormat="1" x14ac:dyDescent="0.35">
      <c r="A35" s="129"/>
      <c r="B35" s="130"/>
      <c r="C35" s="131"/>
      <c r="D35" s="132"/>
      <c r="E35" s="133"/>
      <c r="F35" s="133"/>
      <c r="G35" s="133"/>
      <c r="H35" s="133"/>
      <c r="I35" s="134"/>
    </row>
    <row r="36" spans="1:9" x14ac:dyDescent="0.35">
      <c r="A36" s="70"/>
      <c r="B36" s="71"/>
      <c r="C36" s="71"/>
      <c r="D36" s="71" t="s">
        <v>242</v>
      </c>
      <c r="E36" s="71" t="s">
        <v>243</v>
      </c>
      <c r="F36" s="71">
        <v>11270</v>
      </c>
      <c r="G36" s="71" t="s">
        <v>245</v>
      </c>
      <c r="H36" s="71"/>
      <c r="I36" s="71"/>
    </row>
    <row r="37" spans="1:9" x14ac:dyDescent="0.35">
      <c r="A37" s="70"/>
      <c r="B37" s="71"/>
      <c r="C37" s="71"/>
      <c r="D37" s="71"/>
      <c r="E37" s="71" t="s">
        <v>244</v>
      </c>
      <c r="F37" s="71">
        <v>5500</v>
      </c>
      <c r="G37" s="71" t="s">
        <v>245</v>
      </c>
      <c r="H37" s="71"/>
      <c r="I37" s="71"/>
    </row>
  </sheetData>
  <mergeCells count="10">
    <mergeCell ref="A1:I1"/>
    <mergeCell ref="A2:I2"/>
    <mergeCell ref="D5:D6"/>
    <mergeCell ref="C5:C6"/>
    <mergeCell ref="B5:B6"/>
    <mergeCell ref="A5:A6"/>
    <mergeCell ref="I5:I6"/>
    <mergeCell ref="E5:H5"/>
    <mergeCell ref="E6:F6"/>
    <mergeCell ref="G6:H6"/>
  </mergeCell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9"/>
  <sheetViews>
    <sheetView tabSelected="1" topLeftCell="A13" zoomScale="142" zoomScaleNormal="142" workbookViewId="0">
      <selection activeCell="I19" sqref="I19"/>
    </sheetView>
  </sheetViews>
  <sheetFormatPr defaultColWidth="9.109375" defaultRowHeight="18" x14ac:dyDescent="0.35"/>
  <cols>
    <col min="1" max="1" width="5.109375" style="170" bestFit="1" customWidth="1"/>
    <col min="2" max="2" width="43.33203125" style="1" customWidth="1"/>
    <col min="3" max="3" width="9" style="157" customWidth="1"/>
    <col min="4" max="4" width="8.5546875" style="157" customWidth="1"/>
    <col min="5" max="5" width="12.88671875" style="157" customWidth="1"/>
    <col min="6" max="6" width="13.77734375" style="1" customWidth="1"/>
    <col min="7" max="7" width="24.77734375" style="1" customWidth="1"/>
    <col min="8" max="16384" width="9.109375" style="1"/>
  </cols>
  <sheetData>
    <row r="1" spans="1:7" x14ac:dyDescent="0.35">
      <c r="A1" s="150" t="s">
        <v>51</v>
      </c>
      <c r="B1" s="150"/>
      <c r="C1" s="150"/>
      <c r="D1" s="150"/>
      <c r="E1" s="150"/>
      <c r="F1" s="150"/>
      <c r="G1" s="150"/>
    </row>
    <row r="2" spans="1:7" x14ac:dyDescent="0.35">
      <c r="A2" s="150" t="s">
        <v>207</v>
      </c>
      <c r="B2" s="150"/>
      <c r="C2" s="150"/>
      <c r="D2" s="150"/>
      <c r="E2" s="150"/>
      <c r="F2" s="150"/>
      <c r="G2" s="150"/>
    </row>
    <row r="3" spans="1:7" s="24" customFormat="1" ht="34.799999999999997" x14ac:dyDescent="0.3">
      <c r="A3" s="271" t="s">
        <v>3</v>
      </c>
      <c r="B3" s="271" t="s">
        <v>52</v>
      </c>
      <c r="C3" s="271" t="s">
        <v>15</v>
      </c>
      <c r="D3" s="271" t="s">
        <v>53</v>
      </c>
      <c r="E3" s="271" t="s">
        <v>42</v>
      </c>
      <c r="F3" s="271" t="s">
        <v>36</v>
      </c>
      <c r="G3" s="271" t="s">
        <v>9</v>
      </c>
    </row>
    <row r="4" spans="1:7" x14ac:dyDescent="0.35">
      <c r="A4" s="272">
        <v>1</v>
      </c>
      <c r="B4" s="272">
        <v>2</v>
      </c>
      <c r="C4" s="272">
        <v>3</v>
      </c>
      <c r="D4" s="272">
        <v>4</v>
      </c>
      <c r="E4" s="272">
        <v>5</v>
      </c>
      <c r="F4" s="272">
        <v>6</v>
      </c>
      <c r="G4" s="272">
        <v>7</v>
      </c>
    </row>
    <row r="5" spans="1:7" s="155" customFormat="1" x14ac:dyDescent="0.3">
      <c r="A5" s="272"/>
      <c r="B5" s="278" t="s">
        <v>193</v>
      </c>
      <c r="C5" s="273"/>
      <c r="D5" s="273"/>
      <c r="E5" s="278"/>
      <c r="F5" s="279">
        <f>+F6+F12+F17</f>
        <v>3072180</v>
      </c>
      <c r="G5" s="278"/>
    </row>
    <row r="6" spans="1:7" s="155" customFormat="1" x14ac:dyDescent="0.3">
      <c r="A6" s="273" t="s">
        <v>161</v>
      </c>
      <c r="B6" s="278" t="s">
        <v>139</v>
      </c>
      <c r="C6" s="272"/>
      <c r="D6" s="272"/>
      <c r="E6" s="277"/>
      <c r="F6" s="279">
        <f>+SUM(F7:F11)</f>
        <v>1900000</v>
      </c>
      <c r="G6" s="277"/>
    </row>
    <row r="7" spans="1:7" s="155" customFormat="1" x14ac:dyDescent="0.3">
      <c r="A7" s="262">
        <v>1</v>
      </c>
      <c r="B7" s="283" t="s">
        <v>140</v>
      </c>
      <c r="C7" s="262" t="s">
        <v>109</v>
      </c>
      <c r="D7" s="274">
        <v>1</v>
      </c>
      <c r="E7" s="281">
        <v>500000</v>
      </c>
      <c r="F7" s="281">
        <f>+E7*D7</f>
        <v>500000</v>
      </c>
      <c r="G7" s="280"/>
    </row>
    <row r="8" spans="1:7" s="155" customFormat="1" ht="22.2" customHeight="1" x14ac:dyDescent="0.3">
      <c r="A8" s="262">
        <v>2</v>
      </c>
      <c r="B8" s="283" t="s">
        <v>141</v>
      </c>
      <c r="C8" s="262" t="str">
        <f>+C7</f>
        <v>Người</v>
      </c>
      <c r="D8" s="274">
        <v>1</v>
      </c>
      <c r="E8" s="281">
        <v>500000</v>
      </c>
      <c r="F8" s="281">
        <f t="shared" ref="F8:F11" si="0">+E8*D8</f>
        <v>500000</v>
      </c>
      <c r="G8" s="280"/>
    </row>
    <row r="9" spans="1:7" s="155" customFormat="1" ht="36" x14ac:dyDescent="0.3">
      <c r="A9" s="262">
        <v>3</v>
      </c>
      <c r="B9" s="283" t="s">
        <v>142</v>
      </c>
      <c r="C9" s="262" t="s">
        <v>93</v>
      </c>
      <c r="D9" s="274">
        <v>6</v>
      </c>
      <c r="E9" s="281">
        <v>50000</v>
      </c>
      <c r="F9" s="281">
        <f t="shared" si="0"/>
        <v>300000</v>
      </c>
      <c r="G9" s="283" t="s">
        <v>150</v>
      </c>
    </row>
    <row r="10" spans="1:7" s="155" customFormat="1" ht="36" x14ac:dyDescent="0.3">
      <c r="A10" s="262">
        <v>4</v>
      </c>
      <c r="B10" s="286" t="s">
        <v>144</v>
      </c>
      <c r="C10" s="262" t="s">
        <v>93</v>
      </c>
      <c r="D10" s="274">
        <v>1</v>
      </c>
      <c r="E10" s="281">
        <v>300000</v>
      </c>
      <c r="F10" s="281">
        <f t="shared" si="0"/>
        <v>300000</v>
      </c>
      <c r="G10" s="283" t="s">
        <v>152</v>
      </c>
    </row>
    <row r="11" spans="1:7" s="155" customFormat="1" x14ac:dyDescent="0.3">
      <c r="A11" s="262">
        <v>5</v>
      </c>
      <c r="B11" s="286" t="s">
        <v>153</v>
      </c>
      <c r="C11" s="262"/>
      <c r="D11" s="274">
        <v>1</v>
      </c>
      <c r="E11" s="281">
        <v>300000</v>
      </c>
      <c r="F11" s="281">
        <f t="shared" si="0"/>
        <v>300000</v>
      </c>
      <c r="G11" s="280"/>
    </row>
    <row r="12" spans="1:7" s="284" customFormat="1" ht="17.399999999999999" x14ac:dyDescent="0.3">
      <c r="A12" s="273" t="s">
        <v>133</v>
      </c>
      <c r="B12" s="288" t="s">
        <v>143</v>
      </c>
      <c r="C12" s="273"/>
      <c r="D12" s="275"/>
      <c r="E12" s="278"/>
      <c r="F12" s="279">
        <f>+SUM(F13:F16)</f>
        <v>372180</v>
      </c>
      <c r="G12" s="278"/>
    </row>
    <row r="13" spans="1:7" s="155" customFormat="1" ht="36" x14ac:dyDescent="0.3">
      <c r="A13" s="262">
        <v>1</v>
      </c>
      <c r="B13" s="286" t="s">
        <v>145</v>
      </c>
      <c r="C13" s="262" t="s">
        <v>154</v>
      </c>
      <c r="D13" s="262">
        <v>1</v>
      </c>
      <c r="E13" s="280">
        <v>100000</v>
      </c>
      <c r="F13" s="281"/>
      <c r="G13" s="280"/>
    </row>
    <row r="14" spans="1:7" s="155" customFormat="1" ht="36" x14ac:dyDescent="0.3">
      <c r="A14" s="262">
        <v>2</v>
      </c>
      <c r="B14" s="286" t="s">
        <v>146</v>
      </c>
      <c r="C14" s="262" t="s">
        <v>155</v>
      </c>
      <c r="D14" s="274">
        <v>1</v>
      </c>
      <c r="E14" s="281">
        <v>150000</v>
      </c>
      <c r="F14" s="281">
        <f>+E14*D14</f>
        <v>150000</v>
      </c>
      <c r="G14" s="283"/>
    </row>
    <row r="15" spans="1:7" s="155" customFormat="1" x14ac:dyDescent="0.3">
      <c r="A15" s="262">
        <v>3</v>
      </c>
      <c r="B15" s="286" t="s">
        <v>147</v>
      </c>
      <c r="C15" s="262" t="s">
        <v>156</v>
      </c>
      <c r="D15" s="274">
        <v>1</v>
      </c>
      <c r="E15" s="281">
        <v>22180</v>
      </c>
      <c r="F15" s="281">
        <f t="shared" ref="F15:F19" si="1">+E15*D15</f>
        <v>22180</v>
      </c>
      <c r="G15" s="283"/>
    </row>
    <row r="16" spans="1:7" s="155" customFormat="1" x14ac:dyDescent="0.3">
      <c r="A16" s="262">
        <v>4</v>
      </c>
      <c r="B16" s="286" t="s">
        <v>148</v>
      </c>
      <c r="C16" s="262" t="s">
        <v>157</v>
      </c>
      <c r="D16" s="274">
        <v>1</v>
      </c>
      <c r="E16" s="281">
        <v>200000</v>
      </c>
      <c r="F16" s="281">
        <f t="shared" si="1"/>
        <v>200000</v>
      </c>
      <c r="G16" s="283"/>
    </row>
    <row r="17" spans="1:7" s="155" customFormat="1" ht="34.799999999999997" x14ac:dyDescent="0.3">
      <c r="A17" s="273" t="s">
        <v>162</v>
      </c>
      <c r="B17" s="288" t="s">
        <v>160</v>
      </c>
      <c r="C17" s="262"/>
      <c r="D17" s="274"/>
      <c r="E17" s="281"/>
      <c r="F17" s="279">
        <f>+SUM(F18:F19)</f>
        <v>800000</v>
      </c>
      <c r="G17" s="283"/>
    </row>
    <row r="18" spans="1:7" s="155" customFormat="1" ht="40.200000000000003" customHeight="1" x14ac:dyDescent="0.3">
      <c r="A18" s="262">
        <v>1</v>
      </c>
      <c r="B18" s="286" t="s">
        <v>149</v>
      </c>
      <c r="C18" s="262" t="s">
        <v>158</v>
      </c>
      <c r="D18" s="274">
        <v>1</v>
      </c>
      <c r="E18" s="281">
        <v>500000</v>
      </c>
      <c r="F18" s="281">
        <f t="shared" si="1"/>
        <v>500000</v>
      </c>
      <c r="G18" s="283"/>
    </row>
    <row r="19" spans="1:7" s="155" customFormat="1" ht="37.200000000000003" customHeight="1" x14ac:dyDescent="0.3">
      <c r="A19" s="263">
        <v>2</v>
      </c>
      <c r="B19" s="287" t="s">
        <v>151</v>
      </c>
      <c r="C19" s="263" t="s">
        <v>159</v>
      </c>
      <c r="D19" s="276">
        <v>6</v>
      </c>
      <c r="E19" s="282">
        <v>50000</v>
      </c>
      <c r="F19" s="282">
        <f t="shared" si="1"/>
        <v>300000</v>
      </c>
      <c r="G19" s="285"/>
    </row>
  </sheetData>
  <mergeCells count="2">
    <mergeCell ref="A2:G2"/>
    <mergeCell ref="A1:G1"/>
  </mergeCells>
  <printOptions horizontalCentered="1"/>
  <pageMargins left="1.36" right="0.45" top="0.5" bottom="0.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topLeftCell="A10" zoomScale="142" zoomScaleNormal="142" workbookViewId="0">
      <selection activeCell="H22" sqref="H22"/>
    </sheetView>
  </sheetViews>
  <sheetFormatPr defaultColWidth="9.109375" defaultRowHeight="18" x14ac:dyDescent="0.35"/>
  <cols>
    <col min="1" max="1" width="6.33203125" style="157" customWidth="1"/>
    <col min="2" max="2" width="32.88671875" style="1" customWidth="1"/>
    <col min="3" max="3" width="11.88671875" style="157" customWidth="1"/>
    <col min="4" max="4" width="9.5546875" style="157" customWidth="1"/>
    <col min="5" max="5" width="11.6640625" style="157" customWidth="1"/>
    <col min="6" max="6" width="11.44140625" style="157" customWidth="1"/>
    <col min="7" max="7" width="12.6640625" style="1" customWidth="1"/>
    <col min="8" max="8" width="15.6640625" style="1" customWidth="1"/>
    <col min="9" max="9" width="18" style="1" customWidth="1"/>
    <col min="10" max="16384" width="9.109375" style="1"/>
  </cols>
  <sheetData>
    <row r="1" spans="1:10" x14ac:dyDescent="0.35">
      <c r="A1" s="143" t="s">
        <v>0</v>
      </c>
      <c r="B1" s="143"/>
      <c r="C1" s="143"/>
      <c r="D1" s="143"/>
      <c r="E1" s="143"/>
      <c r="F1" s="143"/>
      <c r="G1" s="143"/>
      <c r="H1" s="143"/>
      <c r="I1" s="143"/>
    </row>
    <row r="2" spans="1:10" x14ac:dyDescent="0.35">
      <c r="A2" s="143" t="s">
        <v>1</v>
      </c>
      <c r="B2" s="143"/>
      <c r="C2" s="143"/>
      <c r="D2" s="143"/>
      <c r="E2" s="143"/>
      <c r="F2" s="143"/>
      <c r="G2" s="143"/>
      <c r="H2" s="143"/>
      <c r="I2" s="143"/>
    </row>
    <row r="4" spans="1:10" x14ac:dyDescent="0.35">
      <c r="A4" s="156"/>
      <c r="B4" s="71"/>
      <c r="C4" s="156"/>
      <c r="D4" s="156"/>
      <c r="E4" s="156"/>
      <c r="F4" s="156"/>
      <c r="G4" s="72" t="s">
        <v>2</v>
      </c>
      <c r="H4" s="72"/>
      <c r="I4" s="71"/>
    </row>
    <row r="5" spans="1:10" x14ac:dyDescent="0.35">
      <c r="A5" s="136" t="s">
        <v>3</v>
      </c>
      <c r="B5" s="136" t="s">
        <v>13</v>
      </c>
      <c r="C5" s="136" t="s">
        <v>59</v>
      </c>
      <c r="D5" s="136" t="s">
        <v>4</v>
      </c>
      <c r="E5" s="136" t="s">
        <v>5</v>
      </c>
      <c r="F5" s="136" t="s">
        <v>373</v>
      </c>
      <c r="G5" s="158" t="s">
        <v>6</v>
      </c>
      <c r="H5" s="158"/>
      <c r="I5" s="136" t="s">
        <v>9</v>
      </c>
      <c r="J5" s="2"/>
    </row>
    <row r="6" spans="1:10" ht="46.2" customHeight="1" x14ac:dyDescent="0.35">
      <c r="A6" s="136"/>
      <c r="B6" s="136"/>
      <c r="C6" s="136"/>
      <c r="D6" s="136"/>
      <c r="E6" s="136"/>
      <c r="F6" s="136"/>
      <c r="G6" s="75" t="s">
        <v>58</v>
      </c>
      <c r="H6" s="76" t="s">
        <v>8</v>
      </c>
      <c r="I6" s="136"/>
      <c r="J6" s="2"/>
    </row>
    <row r="7" spans="1:10" ht="19.5" customHeight="1" x14ac:dyDescent="0.35">
      <c r="A7" s="154">
        <v>1</v>
      </c>
      <c r="B7" s="154">
        <v>2</v>
      </c>
      <c r="C7" s="154">
        <v>3</v>
      </c>
      <c r="D7" s="154">
        <v>4</v>
      </c>
      <c r="E7" s="154">
        <v>5</v>
      </c>
      <c r="F7" s="154">
        <v>6</v>
      </c>
      <c r="G7" s="154">
        <v>7</v>
      </c>
      <c r="H7" s="154">
        <v>8</v>
      </c>
      <c r="I7" s="154">
        <v>9</v>
      </c>
    </row>
    <row r="8" spans="1:10" ht="19.5" customHeight="1" x14ac:dyDescent="0.35">
      <c r="A8" s="76" t="s">
        <v>161</v>
      </c>
      <c r="B8" s="159" t="s">
        <v>248</v>
      </c>
      <c r="C8" s="154"/>
      <c r="D8" s="154"/>
      <c r="E8" s="154"/>
      <c r="F8" s="154"/>
      <c r="G8" s="160">
        <f>G10+G12+G13</f>
        <v>57124914</v>
      </c>
      <c r="H8" s="160">
        <f>H10+H12+H13</f>
        <v>685498968</v>
      </c>
      <c r="I8" s="154"/>
    </row>
    <row r="9" spans="1:10" s="24" customFormat="1" ht="17.399999999999999" x14ac:dyDescent="0.3">
      <c r="A9" s="76">
        <v>1</v>
      </c>
      <c r="B9" s="161" t="s">
        <v>10</v>
      </c>
      <c r="C9" s="76"/>
      <c r="D9" s="76"/>
      <c r="E9" s="76"/>
      <c r="F9" s="76"/>
      <c r="G9" s="162"/>
      <c r="H9" s="162"/>
      <c r="I9" s="161"/>
    </row>
    <row r="10" spans="1:10" s="12" customFormat="1" ht="31.2" x14ac:dyDescent="0.3">
      <c r="A10" s="163"/>
      <c r="B10" s="164" t="s">
        <v>252</v>
      </c>
      <c r="C10" s="163">
        <v>4</v>
      </c>
      <c r="D10" s="163">
        <v>4</v>
      </c>
      <c r="E10" s="163">
        <v>22</v>
      </c>
      <c r="F10" s="163">
        <v>2027</v>
      </c>
      <c r="G10" s="165">
        <f>+F10*E10*D10*C10*30</f>
        <v>21405120</v>
      </c>
      <c r="H10" s="165">
        <f>+G10*12</f>
        <v>256861440</v>
      </c>
      <c r="I10" s="164" t="s">
        <v>54</v>
      </c>
    </row>
    <row r="11" spans="1:10" s="12" customFormat="1" x14ac:dyDescent="0.3">
      <c r="A11" s="76">
        <v>2</v>
      </c>
      <c r="B11" s="161" t="s">
        <v>254</v>
      </c>
      <c r="C11" s="76"/>
      <c r="D11" s="76"/>
      <c r="E11" s="76"/>
      <c r="F11" s="76"/>
      <c r="G11" s="162"/>
      <c r="H11" s="162"/>
      <c r="I11" s="161"/>
    </row>
    <row r="12" spans="1:10" s="12" customFormat="1" x14ac:dyDescent="0.3">
      <c r="A12" s="153"/>
      <c r="B12" s="166" t="s">
        <v>255</v>
      </c>
      <c r="C12" s="153">
        <v>12</v>
      </c>
      <c r="D12" s="153">
        <v>5</v>
      </c>
      <c r="E12" s="153">
        <v>9.4</v>
      </c>
      <c r="F12" s="153">
        <f>+F10</f>
        <v>2027</v>
      </c>
      <c r="G12" s="165">
        <f>+F12*E12*D12*C12*30</f>
        <v>34296840</v>
      </c>
      <c r="H12" s="165">
        <f>+G12*12</f>
        <v>411562080</v>
      </c>
      <c r="I12" s="167" t="s">
        <v>256</v>
      </c>
    </row>
    <row r="13" spans="1:10" s="24" customFormat="1" ht="17.399999999999999" x14ac:dyDescent="0.3">
      <c r="A13" s="153"/>
      <c r="B13" s="166" t="s">
        <v>257</v>
      </c>
      <c r="C13" s="153">
        <v>2</v>
      </c>
      <c r="D13" s="153">
        <v>1</v>
      </c>
      <c r="E13" s="153">
        <v>11.7</v>
      </c>
      <c r="F13" s="153">
        <f>+F12</f>
        <v>2027</v>
      </c>
      <c r="G13" s="165">
        <f>+F13*E13*D13*C13*30</f>
        <v>1422953.9999999998</v>
      </c>
      <c r="H13" s="165">
        <f>+G13*12</f>
        <v>17075447.999999996</v>
      </c>
      <c r="I13" s="167" t="s">
        <v>258</v>
      </c>
    </row>
    <row r="14" spans="1:10" s="24" customFormat="1" x14ac:dyDescent="0.35">
      <c r="A14" s="76" t="s">
        <v>133</v>
      </c>
      <c r="B14" s="159" t="s">
        <v>249</v>
      </c>
      <c r="C14" s="76"/>
      <c r="D14" s="76"/>
      <c r="E14" s="76"/>
      <c r="F14" s="76"/>
      <c r="G14" s="168">
        <f>G16+G18+G19</f>
        <v>171374742</v>
      </c>
      <c r="H14" s="168">
        <f>H16+H18+H19</f>
        <v>2056496904</v>
      </c>
      <c r="I14" s="161"/>
    </row>
    <row r="15" spans="1:10" s="24" customFormat="1" ht="17.399999999999999" x14ac:dyDescent="0.3">
      <c r="A15" s="76">
        <v>1</v>
      </c>
      <c r="B15" s="161" t="s">
        <v>10</v>
      </c>
      <c r="C15" s="76"/>
      <c r="D15" s="76"/>
      <c r="E15" s="76"/>
      <c r="F15" s="76"/>
      <c r="G15" s="168"/>
      <c r="H15" s="168"/>
      <c r="I15" s="161"/>
    </row>
    <row r="16" spans="1:10" s="24" customFormat="1" ht="31.2" x14ac:dyDescent="0.3">
      <c r="A16" s="76"/>
      <c r="B16" s="164" t="s">
        <v>253</v>
      </c>
      <c r="C16" s="163">
        <v>12</v>
      </c>
      <c r="D16" s="163">
        <v>4</v>
      </c>
      <c r="E16" s="163">
        <v>22</v>
      </c>
      <c r="F16" s="163">
        <v>2027</v>
      </c>
      <c r="G16" s="165">
        <f>+F16*E16*D16*C16*30</f>
        <v>64215360</v>
      </c>
      <c r="H16" s="165">
        <f>+G16*12</f>
        <v>770584320</v>
      </c>
      <c r="I16" s="164" t="s">
        <v>54</v>
      </c>
    </row>
    <row r="17" spans="1:9" x14ac:dyDescent="0.35">
      <c r="A17" s="76">
        <v>2</v>
      </c>
      <c r="B17" s="161" t="s">
        <v>254</v>
      </c>
      <c r="C17" s="76"/>
      <c r="D17" s="76"/>
      <c r="E17" s="76"/>
      <c r="F17" s="76"/>
      <c r="G17" s="162"/>
      <c r="H17" s="162"/>
      <c r="I17" s="161"/>
    </row>
    <row r="18" spans="1:9" x14ac:dyDescent="0.35">
      <c r="A18" s="153"/>
      <c r="B18" s="166" t="s">
        <v>255</v>
      </c>
      <c r="C18" s="153">
        <v>36</v>
      </c>
      <c r="D18" s="153">
        <v>5</v>
      </c>
      <c r="E18" s="153">
        <v>9.4</v>
      </c>
      <c r="F18" s="153">
        <f>+F16</f>
        <v>2027</v>
      </c>
      <c r="G18" s="165">
        <f>+F18*E18*D18*C18*30</f>
        <v>102890520</v>
      </c>
      <c r="H18" s="165">
        <f>+G18*12</f>
        <v>1234686240</v>
      </c>
      <c r="I18" s="167" t="s">
        <v>256</v>
      </c>
    </row>
    <row r="19" spans="1:9" x14ac:dyDescent="0.35">
      <c r="A19" s="153"/>
      <c r="B19" s="166" t="s">
        <v>257</v>
      </c>
      <c r="C19" s="153">
        <v>6</v>
      </c>
      <c r="D19" s="153">
        <v>1</v>
      </c>
      <c r="E19" s="153">
        <v>11.7</v>
      </c>
      <c r="F19" s="153">
        <f>+F18</f>
        <v>2027</v>
      </c>
      <c r="G19" s="165">
        <f>+F19*E19*D19*C19*30</f>
        <v>4268862</v>
      </c>
      <c r="H19" s="165">
        <f>+G19*12</f>
        <v>51226344</v>
      </c>
      <c r="I19" s="167" t="s">
        <v>258</v>
      </c>
    </row>
    <row r="20" spans="1:9" x14ac:dyDescent="0.35">
      <c r="A20" s="156"/>
      <c r="B20" s="71" t="s">
        <v>55</v>
      </c>
      <c r="C20" s="156"/>
      <c r="D20" s="156"/>
      <c r="E20" s="156"/>
      <c r="F20" s="156"/>
      <c r="G20" s="71"/>
      <c r="H20" s="71"/>
      <c r="I20" s="71"/>
    </row>
    <row r="21" spans="1:9" x14ac:dyDescent="0.35">
      <c r="A21" s="156"/>
      <c r="B21" s="71" t="s">
        <v>218</v>
      </c>
      <c r="C21" s="156"/>
      <c r="D21" s="156"/>
      <c r="E21" s="156"/>
      <c r="F21" s="156"/>
      <c r="G21" s="71"/>
      <c r="H21" s="71"/>
      <c r="I21" s="71"/>
    </row>
  </sheetData>
  <mergeCells count="10">
    <mergeCell ref="A1:I1"/>
    <mergeCell ref="A2:I2"/>
    <mergeCell ref="A5:A6"/>
    <mergeCell ref="B5:B6"/>
    <mergeCell ref="C5:C6"/>
    <mergeCell ref="D5:D6"/>
    <mergeCell ref="E5:E6"/>
    <mergeCell ref="F5:F6"/>
    <mergeCell ref="G5:H5"/>
    <mergeCell ref="I5:I6"/>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9"/>
  <sheetViews>
    <sheetView topLeftCell="A5" zoomScale="142" zoomScaleNormal="142" workbookViewId="0">
      <selection activeCell="N9" sqref="N9"/>
    </sheetView>
  </sheetViews>
  <sheetFormatPr defaultColWidth="9.109375" defaultRowHeight="18" x14ac:dyDescent="0.35"/>
  <cols>
    <col min="1" max="1" width="5.109375" style="1" bestFit="1" customWidth="1"/>
    <col min="2" max="2" width="32.44140625" style="1" customWidth="1"/>
    <col min="3" max="3" width="9.109375" style="1" customWidth="1"/>
    <col min="4" max="4" width="7.109375" style="170" customWidth="1"/>
    <col min="5" max="5" width="7.44140625" style="170" customWidth="1"/>
    <col min="6" max="6" width="7.77734375" style="170" customWidth="1"/>
    <col min="7" max="7" width="8" style="170" customWidth="1"/>
    <col min="8" max="8" width="7.44140625" style="170" customWidth="1"/>
    <col min="9" max="9" width="11.44140625" style="1" customWidth="1"/>
    <col min="10" max="10" width="12.33203125" style="1" customWidth="1"/>
    <col min="11" max="11" width="11.88671875" style="1" customWidth="1"/>
    <col min="12" max="16384" width="9.109375" style="1"/>
  </cols>
  <sheetData>
    <row r="1" spans="1:13" x14ac:dyDescent="0.35">
      <c r="A1" s="143" t="s">
        <v>11</v>
      </c>
      <c r="B1" s="143"/>
      <c r="C1" s="143"/>
      <c r="D1" s="143"/>
      <c r="E1" s="143"/>
      <c r="F1" s="143"/>
      <c r="G1" s="143"/>
      <c r="H1" s="143"/>
      <c r="I1" s="143"/>
      <c r="J1" s="143"/>
      <c r="K1" s="143"/>
      <c r="L1" s="143"/>
    </row>
    <row r="2" spans="1:13" x14ac:dyDescent="0.35">
      <c r="A2" s="143" t="s">
        <v>12</v>
      </c>
      <c r="B2" s="143"/>
      <c r="C2" s="143"/>
      <c r="D2" s="143"/>
      <c r="E2" s="143"/>
      <c r="F2" s="143"/>
      <c r="G2" s="143"/>
      <c r="H2" s="143"/>
      <c r="I2" s="143"/>
      <c r="J2" s="143"/>
      <c r="K2" s="143"/>
      <c r="L2" s="143"/>
    </row>
    <row r="4" spans="1:13" x14ac:dyDescent="0.35">
      <c r="J4" s="3" t="s">
        <v>2</v>
      </c>
      <c r="K4" s="3"/>
    </row>
    <row r="5" spans="1:13" x14ac:dyDescent="0.35">
      <c r="A5" s="151" t="s">
        <v>3</v>
      </c>
      <c r="B5" s="151" t="s">
        <v>13</v>
      </c>
      <c r="C5" s="151" t="s">
        <v>14</v>
      </c>
      <c r="D5" s="151" t="s">
        <v>15</v>
      </c>
      <c r="E5" s="151" t="s">
        <v>19</v>
      </c>
      <c r="F5" s="151" t="s">
        <v>16</v>
      </c>
      <c r="G5" s="151" t="s">
        <v>24</v>
      </c>
      <c r="H5" s="151" t="s">
        <v>17</v>
      </c>
      <c r="I5" s="151" t="s">
        <v>18</v>
      </c>
      <c r="J5" s="152" t="s">
        <v>6</v>
      </c>
      <c r="K5" s="152"/>
      <c r="L5" s="151" t="s">
        <v>9</v>
      </c>
      <c r="M5" s="2"/>
    </row>
    <row r="6" spans="1:13" ht="52.2" customHeight="1" x14ac:dyDescent="0.35">
      <c r="A6" s="151"/>
      <c r="B6" s="151"/>
      <c r="C6" s="151"/>
      <c r="D6" s="151"/>
      <c r="E6" s="151"/>
      <c r="F6" s="151"/>
      <c r="G6" s="151"/>
      <c r="H6" s="151"/>
      <c r="I6" s="151"/>
      <c r="J6" s="33" t="s">
        <v>7</v>
      </c>
      <c r="K6" s="33" t="s">
        <v>8</v>
      </c>
      <c r="L6" s="151"/>
      <c r="M6" s="2"/>
    </row>
    <row r="7" spans="1:13" x14ac:dyDescent="0.35">
      <c r="A7" s="5">
        <v>1</v>
      </c>
      <c r="B7" s="5">
        <v>2</v>
      </c>
      <c r="C7" s="5">
        <v>3</v>
      </c>
      <c r="D7" s="5">
        <v>4</v>
      </c>
      <c r="E7" s="5">
        <v>5</v>
      </c>
      <c r="F7" s="5">
        <v>6</v>
      </c>
      <c r="G7" s="5">
        <v>7</v>
      </c>
      <c r="H7" s="5">
        <v>8</v>
      </c>
      <c r="I7" s="5">
        <v>9</v>
      </c>
      <c r="J7" s="5" t="s">
        <v>20</v>
      </c>
      <c r="K7" s="5" t="s">
        <v>21</v>
      </c>
      <c r="L7" s="5">
        <v>12</v>
      </c>
    </row>
    <row r="8" spans="1:13" x14ac:dyDescent="0.35">
      <c r="A8" s="38"/>
      <c r="B8" s="38" t="s">
        <v>237</v>
      </c>
      <c r="C8" s="11"/>
      <c r="D8" s="52"/>
      <c r="E8" s="52"/>
      <c r="F8" s="52"/>
      <c r="G8" s="52"/>
      <c r="H8" s="52"/>
      <c r="I8" s="11"/>
      <c r="J8" s="10"/>
      <c r="K8" s="10"/>
      <c r="L8" s="11"/>
    </row>
    <row r="9" spans="1:13" x14ac:dyDescent="0.35">
      <c r="A9" s="51" t="s">
        <v>161</v>
      </c>
      <c r="B9" s="49" t="s">
        <v>259</v>
      </c>
      <c r="C9" s="11"/>
      <c r="D9" s="52"/>
      <c r="E9" s="52"/>
      <c r="F9" s="52"/>
      <c r="G9" s="52"/>
      <c r="H9" s="52"/>
      <c r="I9" s="11"/>
      <c r="J9" s="28">
        <f>J10+J11</f>
        <v>181627.5</v>
      </c>
      <c r="K9" s="28">
        <f>K10+K11</f>
        <v>2179530</v>
      </c>
      <c r="L9" s="11"/>
    </row>
    <row r="10" spans="1:13" ht="26.4" x14ac:dyDescent="0.35">
      <c r="A10" s="11"/>
      <c r="B10" s="6" t="s">
        <v>111</v>
      </c>
      <c r="C10" s="54" t="s">
        <v>22</v>
      </c>
      <c r="D10" s="55" t="s">
        <v>23</v>
      </c>
      <c r="E10" s="55">
        <v>1</v>
      </c>
      <c r="F10" s="55">
        <v>12</v>
      </c>
      <c r="G10" s="172">
        <f>16.9/60</f>
        <v>0.28166666666666662</v>
      </c>
      <c r="H10" s="55">
        <v>15</v>
      </c>
      <c r="I10" s="7">
        <f>20130/1.1</f>
        <v>18300</v>
      </c>
      <c r="J10" s="7">
        <f>+I10*H10*G10*E10</f>
        <v>77317.499999999985</v>
      </c>
      <c r="K10" s="7">
        <f>+F10*G10*H10*I10</f>
        <v>927809.99999999977</v>
      </c>
      <c r="L10" s="11"/>
    </row>
    <row r="11" spans="1:13" ht="39.6" x14ac:dyDescent="0.35">
      <c r="A11" s="11"/>
      <c r="B11" s="6" t="s">
        <v>110</v>
      </c>
      <c r="C11" s="54" t="str">
        <f>+C10</f>
        <v>Dầu diezel</v>
      </c>
      <c r="D11" s="55" t="s">
        <v>23</v>
      </c>
      <c r="E11" s="55">
        <v>0.5</v>
      </c>
      <c r="F11" s="55">
        <v>6</v>
      </c>
      <c r="G11" s="55">
        <f>22.8/60</f>
        <v>0.38</v>
      </c>
      <c r="H11" s="55">
        <v>30</v>
      </c>
      <c r="I11" s="7">
        <f>+I10</f>
        <v>18300</v>
      </c>
      <c r="J11" s="7">
        <f>+I11*E11*G11*H11</f>
        <v>104310</v>
      </c>
      <c r="K11" s="7">
        <f>+F11*G11*H11*I11</f>
        <v>1251720</v>
      </c>
      <c r="L11" s="11"/>
    </row>
    <row r="12" spans="1:13" hidden="1" x14ac:dyDescent="0.35">
      <c r="A12" s="11"/>
      <c r="B12" s="11"/>
      <c r="C12" s="11"/>
      <c r="D12" s="52"/>
      <c r="E12" s="52"/>
      <c r="F12" s="52"/>
      <c r="G12" s="52"/>
      <c r="H12" s="52"/>
      <c r="I12" s="10"/>
      <c r="J12" s="10"/>
      <c r="K12" s="10"/>
      <c r="L12" s="11"/>
    </row>
    <row r="13" spans="1:13" hidden="1" x14ac:dyDescent="0.35">
      <c r="A13" s="11"/>
      <c r="B13" s="11"/>
      <c r="C13" s="11"/>
      <c r="D13" s="52"/>
      <c r="E13" s="52"/>
      <c r="F13" s="52"/>
      <c r="G13" s="52"/>
      <c r="H13" s="52"/>
      <c r="I13" s="10"/>
      <c r="J13" s="10"/>
      <c r="K13" s="10"/>
      <c r="L13" s="11"/>
    </row>
    <row r="14" spans="1:13" hidden="1" x14ac:dyDescent="0.35">
      <c r="A14" s="11"/>
      <c r="B14" s="11"/>
      <c r="C14" s="11"/>
      <c r="D14" s="52"/>
      <c r="E14" s="52"/>
      <c r="F14" s="52"/>
      <c r="G14" s="52"/>
      <c r="H14" s="52"/>
      <c r="I14" s="10"/>
      <c r="J14" s="10"/>
      <c r="K14" s="10"/>
      <c r="L14" s="11"/>
    </row>
    <row r="15" spans="1:13" x14ac:dyDescent="0.35">
      <c r="A15" s="53" t="s">
        <v>133</v>
      </c>
      <c r="B15" s="49" t="s">
        <v>260</v>
      </c>
      <c r="C15" s="9"/>
      <c r="D15" s="53"/>
      <c r="E15" s="53"/>
      <c r="F15" s="53"/>
      <c r="G15" s="53"/>
      <c r="H15" s="53"/>
      <c r="I15" s="9"/>
      <c r="J15" s="28">
        <f>J16+J17</f>
        <v>328485</v>
      </c>
      <c r="K15" s="28">
        <f>K16+K17</f>
        <v>3941820</v>
      </c>
      <c r="L15" s="9"/>
    </row>
    <row r="16" spans="1:13" ht="26.4" x14ac:dyDescent="0.35">
      <c r="A16" s="9"/>
      <c r="B16" s="37" t="s">
        <v>111</v>
      </c>
      <c r="C16" s="47" t="s">
        <v>22</v>
      </c>
      <c r="D16" s="4" t="s">
        <v>23</v>
      </c>
      <c r="E16" s="173">
        <v>1</v>
      </c>
      <c r="F16" s="173">
        <v>12</v>
      </c>
      <c r="G16" s="174">
        <f>29.5/60</f>
        <v>0.49166666666666664</v>
      </c>
      <c r="H16" s="173">
        <v>15</v>
      </c>
      <c r="I16" s="20">
        <f>20130/1.1</f>
        <v>18300</v>
      </c>
      <c r="J16" s="20">
        <f>+I16*H16*G16*E16</f>
        <v>134962.5</v>
      </c>
      <c r="K16" s="20">
        <f>+F16*G16*H16*I16</f>
        <v>1619549.9999999998</v>
      </c>
      <c r="L16" s="11"/>
    </row>
    <row r="17" spans="1:12" ht="39.6" x14ac:dyDescent="0.35">
      <c r="A17" s="9"/>
      <c r="B17" s="37" t="s">
        <v>110</v>
      </c>
      <c r="C17" s="47" t="str">
        <f>+C16</f>
        <v>Dầu diezel</v>
      </c>
      <c r="D17" s="4" t="s">
        <v>23</v>
      </c>
      <c r="E17" s="173">
        <v>0.5</v>
      </c>
      <c r="F17" s="173">
        <v>6</v>
      </c>
      <c r="G17" s="174">
        <f>42.3/60</f>
        <v>0.70499999999999996</v>
      </c>
      <c r="H17" s="173">
        <v>30</v>
      </c>
      <c r="I17" s="20">
        <f>+I16</f>
        <v>18300</v>
      </c>
      <c r="J17" s="20">
        <f>+I17*E17*G17*H17</f>
        <v>193522.5</v>
      </c>
      <c r="K17" s="20">
        <f>+F17*G17*H17*I17</f>
        <v>2322270</v>
      </c>
      <c r="L17" s="11"/>
    </row>
    <row r="23" spans="1:12" ht="66.599999999999994" x14ac:dyDescent="0.35">
      <c r="B23" s="56" t="s">
        <v>261</v>
      </c>
      <c r="C23"/>
      <c r="D23" s="175"/>
      <c r="E23" s="175"/>
      <c r="F23" s="175"/>
    </row>
    <row r="24" spans="1:12" ht="100.8" x14ac:dyDescent="0.35">
      <c r="B24" s="58" t="s">
        <v>262</v>
      </c>
      <c r="C24"/>
      <c r="D24" s="175"/>
      <c r="E24" s="175"/>
      <c r="F24" s="175"/>
    </row>
    <row r="25" spans="1:12" ht="174" x14ac:dyDescent="0.35">
      <c r="B25" s="57" t="s">
        <v>263</v>
      </c>
      <c r="C25"/>
      <c r="D25" s="175"/>
      <c r="E25" s="175"/>
      <c r="F25" s="175"/>
    </row>
    <row r="26" spans="1:12" ht="89.4" thickBot="1" x14ac:dyDescent="0.4">
      <c r="B26" s="56" t="s">
        <v>264</v>
      </c>
      <c r="C26"/>
      <c r="D26" s="175"/>
      <c r="E26" s="175"/>
      <c r="F26" s="175"/>
    </row>
    <row r="27" spans="1:12" ht="19.2" thickTop="1" thickBot="1" x14ac:dyDescent="0.4">
      <c r="B27" s="144" t="s">
        <v>265</v>
      </c>
      <c r="C27" s="147" t="s">
        <v>266</v>
      </c>
      <c r="D27" s="148"/>
      <c r="E27" s="148"/>
      <c r="F27" s="149"/>
    </row>
    <row r="28" spans="1:12" ht="26.4" x14ac:dyDescent="0.35">
      <c r="B28" s="145"/>
      <c r="C28" s="59" t="s">
        <v>267</v>
      </c>
      <c r="D28" s="176" t="s">
        <v>269</v>
      </c>
      <c r="E28" s="176" t="s">
        <v>270</v>
      </c>
      <c r="F28" s="177" t="s">
        <v>271</v>
      </c>
    </row>
    <row r="29" spans="1:12" ht="18.600000000000001" thickBot="1" x14ac:dyDescent="0.4">
      <c r="B29" s="146"/>
      <c r="C29" s="60" t="s">
        <v>268</v>
      </c>
      <c r="D29" s="178" t="s">
        <v>268</v>
      </c>
      <c r="E29" s="178" t="s">
        <v>268</v>
      </c>
      <c r="F29" s="179" t="s">
        <v>268</v>
      </c>
    </row>
    <row r="30" spans="1:12" ht="18.600000000000001" thickBot="1" x14ac:dyDescent="0.4">
      <c r="B30" s="62" t="s">
        <v>272</v>
      </c>
      <c r="C30" s="61">
        <v>2.9</v>
      </c>
      <c r="D30" s="180" t="s">
        <v>273</v>
      </c>
      <c r="E30" s="180" t="s">
        <v>274</v>
      </c>
      <c r="F30" s="181" t="s">
        <v>275</v>
      </c>
    </row>
    <row r="31" spans="1:12" ht="18.600000000000001" thickBot="1" x14ac:dyDescent="0.4">
      <c r="B31" s="63" t="s">
        <v>276</v>
      </c>
      <c r="C31" s="61">
        <v>3.9</v>
      </c>
      <c r="D31" s="180" t="s">
        <v>277</v>
      </c>
      <c r="E31" s="180" t="s">
        <v>278</v>
      </c>
      <c r="F31" s="181" t="s">
        <v>279</v>
      </c>
    </row>
    <row r="32" spans="1:12" ht="18.600000000000001" thickBot="1" x14ac:dyDescent="0.4">
      <c r="B32" s="62" t="s">
        <v>280</v>
      </c>
      <c r="C32" s="61">
        <v>4.0999999999999996</v>
      </c>
      <c r="D32" s="180" t="s">
        <v>281</v>
      </c>
      <c r="E32" s="180" t="s">
        <v>282</v>
      </c>
      <c r="F32" s="181" t="s">
        <v>283</v>
      </c>
    </row>
    <row r="33" spans="2:6" ht="18.600000000000001" thickBot="1" x14ac:dyDescent="0.4">
      <c r="B33" s="63" t="s">
        <v>284</v>
      </c>
      <c r="C33" s="61">
        <v>6.3</v>
      </c>
      <c r="D33" s="180" t="s">
        <v>285</v>
      </c>
      <c r="E33" s="180">
        <v>8.5</v>
      </c>
      <c r="F33" s="181" t="s">
        <v>286</v>
      </c>
    </row>
    <row r="34" spans="2:6" ht="18.600000000000001" thickBot="1" x14ac:dyDescent="0.4">
      <c r="B34" s="62" t="s">
        <v>287</v>
      </c>
      <c r="C34" s="61">
        <v>7.5</v>
      </c>
      <c r="D34" s="180" t="s">
        <v>288</v>
      </c>
      <c r="E34" s="180" t="s">
        <v>289</v>
      </c>
      <c r="F34" s="181">
        <v>14</v>
      </c>
    </row>
    <row r="35" spans="2:6" ht="18.600000000000001" thickBot="1" x14ac:dyDescent="0.4">
      <c r="B35" s="63" t="s">
        <v>290</v>
      </c>
      <c r="C35" s="61">
        <v>9.1</v>
      </c>
      <c r="D35" s="180" t="s">
        <v>291</v>
      </c>
      <c r="E35" s="180" t="s">
        <v>291</v>
      </c>
      <c r="F35" s="181" t="s">
        <v>292</v>
      </c>
    </row>
    <row r="36" spans="2:6" ht="18.600000000000001" thickBot="1" x14ac:dyDescent="0.4">
      <c r="B36" s="62" t="s">
        <v>293</v>
      </c>
      <c r="C36" s="61">
        <v>11</v>
      </c>
      <c r="D36" s="180" t="s">
        <v>294</v>
      </c>
      <c r="E36" s="180" t="s">
        <v>295</v>
      </c>
      <c r="F36" s="181" t="s">
        <v>296</v>
      </c>
    </row>
    <row r="37" spans="2:6" ht="18.600000000000001" thickBot="1" x14ac:dyDescent="0.4">
      <c r="B37" s="63" t="s">
        <v>297</v>
      </c>
      <c r="C37" s="61">
        <v>12.9</v>
      </c>
      <c r="D37" s="180" t="s">
        <v>298</v>
      </c>
      <c r="E37" s="180" t="s">
        <v>299</v>
      </c>
      <c r="F37" s="181" t="s">
        <v>300</v>
      </c>
    </row>
    <row r="38" spans="2:6" ht="18.600000000000001" thickBot="1" x14ac:dyDescent="0.4">
      <c r="B38" s="62" t="s">
        <v>301</v>
      </c>
      <c r="C38" s="61">
        <v>14</v>
      </c>
      <c r="D38" s="180" t="s">
        <v>302</v>
      </c>
      <c r="E38" s="180" t="s">
        <v>303</v>
      </c>
      <c r="F38" s="181">
        <v>31.5</v>
      </c>
    </row>
    <row r="39" spans="2:6" ht="18.600000000000001" thickBot="1" x14ac:dyDescent="0.4">
      <c r="B39" s="63" t="s">
        <v>304</v>
      </c>
      <c r="C39" s="61">
        <v>16.899999999999999</v>
      </c>
      <c r="D39" s="180" t="s">
        <v>305</v>
      </c>
      <c r="E39" s="180" t="s">
        <v>306</v>
      </c>
      <c r="F39" s="181">
        <v>32.6</v>
      </c>
    </row>
    <row r="40" spans="2:6" ht="18.600000000000001" thickBot="1" x14ac:dyDescent="0.4">
      <c r="B40" s="63" t="s">
        <v>307</v>
      </c>
      <c r="C40" s="61">
        <v>18</v>
      </c>
      <c r="D40" s="180" t="s">
        <v>308</v>
      </c>
      <c r="E40" s="180" t="s">
        <v>308</v>
      </c>
      <c r="F40" s="181">
        <v>42.6</v>
      </c>
    </row>
    <row r="41" spans="2:6" ht="18.600000000000001" thickBot="1" x14ac:dyDescent="0.4">
      <c r="B41" s="63" t="s">
        <v>309</v>
      </c>
      <c r="C41" s="61">
        <v>20</v>
      </c>
      <c r="D41" s="180" t="s">
        <v>310</v>
      </c>
      <c r="E41" s="180" t="s">
        <v>311</v>
      </c>
      <c r="F41" s="181" t="s">
        <v>312</v>
      </c>
    </row>
    <row r="42" spans="2:6" ht="18.600000000000001" thickBot="1" x14ac:dyDescent="0.4">
      <c r="B42" s="63" t="s">
        <v>313</v>
      </c>
      <c r="C42" s="61">
        <v>22</v>
      </c>
      <c r="D42" s="180" t="s">
        <v>314</v>
      </c>
      <c r="E42" s="180" t="s">
        <v>315</v>
      </c>
      <c r="F42" s="181" t="s">
        <v>316</v>
      </c>
    </row>
    <row r="43" spans="2:6" ht="18.600000000000001" thickBot="1" x14ac:dyDescent="0.4">
      <c r="B43" s="63" t="s">
        <v>317</v>
      </c>
      <c r="C43" s="61">
        <v>24.3</v>
      </c>
      <c r="D43" s="180" t="s">
        <v>318</v>
      </c>
      <c r="E43" s="180" t="s">
        <v>319</v>
      </c>
      <c r="F43" s="181">
        <v>59.4</v>
      </c>
    </row>
    <row r="44" spans="2:6" ht="18.600000000000001" thickBot="1" x14ac:dyDescent="0.4">
      <c r="B44" s="63" t="s">
        <v>320</v>
      </c>
      <c r="C44" s="61">
        <v>29.5</v>
      </c>
      <c r="D44" s="180" t="s">
        <v>321</v>
      </c>
      <c r="E44" s="180" t="s">
        <v>322</v>
      </c>
      <c r="F44" s="181" t="s">
        <v>323</v>
      </c>
    </row>
    <row r="45" spans="2:6" ht="18.600000000000001" thickBot="1" x14ac:dyDescent="0.4">
      <c r="B45" s="63" t="s">
        <v>324</v>
      </c>
      <c r="C45" s="61">
        <v>33.700000000000003</v>
      </c>
      <c r="D45" s="180" t="s">
        <v>325</v>
      </c>
      <c r="E45" s="180" t="s">
        <v>326</v>
      </c>
      <c r="F45" s="181">
        <v>69.2</v>
      </c>
    </row>
    <row r="46" spans="2:6" ht="18.600000000000001" thickBot="1" x14ac:dyDescent="0.4">
      <c r="B46" s="63" t="s">
        <v>327</v>
      </c>
      <c r="C46" s="61">
        <v>40</v>
      </c>
      <c r="D46" s="180" t="s">
        <v>328</v>
      </c>
      <c r="E46" s="180" t="s">
        <v>329</v>
      </c>
      <c r="F46" s="181" t="s">
        <v>330</v>
      </c>
    </row>
    <row r="47" spans="2:6" ht="18.600000000000001" thickBot="1" x14ac:dyDescent="0.4">
      <c r="B47" s="62" t="s">
        <v>331</v>
      </c>
      <c r="C47" s="61">
        <v>55.6</v>
      </c>
      <c r="D47" s="180" t="s">
        <v>332</v>
      </c>
      <c r="E47" s="180" t="s">
        <v>333</v>
      </c>
      <c r="F47" s="181" t="s">
        <v>334</v>
      </c>
    </row>
    <row r="48" spans="2:6" ht="18.600000000000001" thickBot="1" x14ac:dyDescent="0.4">
      <c r="B48" s="63" t="s">
        <v>335</v>
      </c>
      <c r="C48" s="61">
        <v>69.400000000000006</v>
      </c>
      <c r="D48" s="180">
        <v>113.6</v>
      </c>
      <c r="E48" s="180">
        <v>161.19999999999999</v>
      </c>
      <c r="F48" s="181">
        <v>206.7</v>
      </c>
    </row>
    <row r="49" spans="2:6" ht="18.600000000000001" thickBot="1" x14ac:dyDescent="0.4">
      <c r="B49" s="63" t="s">
        <v>336</v>
      </c>
      <c r="C49" s="61">
        <v>77.599999999999994</v>
      </c>
      <c r="D49" s="180" t="s">
        <v>337</v>
      </c>
      <c r="E49" s="180" t="s">
        <v>338</v>
      </c>
      <c r="F49" s="181" t="s">
        <v>339</v>
      </c>
    </row>
    <row r="50" spans="2:6" ht="18.600000000000001" thickBot="1" x14ac:dyDescent="0.4">
      <c r="B50" s="63" t="s">
        <v>340</v>
      </c>
      <c r="C50" s="61">
        <v>80</v>
      </c>
      <c r="D50" s="180" t="s">
        <v>341</v>
      </c>
      <c r="E50" s="180" t="s">
        <v>342</v>
      </c>
      <c r="F50" s="181" t="s">
        <v>343</v>
      </c>
    </row>
    <row r="51" spans="2:6" ht="18.600000000000001" thickBot="1" x14ac:dyDescent="0.4">
      <c r="B51" s="63" t="s">
        <v>344</v>
      </c>
      <c r="C51" s="61">
        <v>101.8</v>
      </c>
      <c r="D51" s="180">
        <v>171.5</v>
      </c>
      <c r="E51" s="180">
        <v>246</v>
      </c>
      <c r="F51" s="181">
        <v>336.1</v>
      </c>
    </row>
    <row r="52" spans="2:6" ht="18.600000000000001" thickBot="1" x14ac:dyDescent="0.4">
      <c r="B52" s="63" t="s">
        <v>345</v>
      </c>
      <c r="C52" s="61">
        <v>121.9</v>
      </c>
      <c r="D52" s="180">
        <v>205.5</v>
      </c>
      <c r="E52" s="180">
        <v>294.5</v>
      </c>
      <c r="F52" s="181">
        <v>403.1</v>
      </c>
    </row>
    <row r="53" spans="2:6" ht="18.600000000000001" thickBot="1" x14ac:dyDescent="0.4">
      <c r="B53" s="62" t="s">
        <v>346</v>
      </c>
      <c r="C53" s="61">
        <v>141.9</v>
      </c>
      <c r="D53" s="180">
        <v>239.2</v>
      </c>
      <c r="E53" s="180">
        <v>343.3</v>
      </c>
      <c r="F53" s="181">
        <v>470.1</v>
      </c>
    </row>
    <row r="54" spans="2:6" ht="18.600000000000001" thickBot="1" x14ac:dyDescent="0.4">
      <c r="B54" s="63" t="s">
        <v>347</v>
      </c>
      <c r="C54" s="61">
        <v>162</v>
      </c>
      <c r="D54" s="180">
        <v>273.3</v>
      </c>
      <c r="E54" s="180">
        <v>391.7</v>
      </c>
      <c r="F54" s="181">
        <v>537.1</v>
      </c>
    </row>
    <row r="55" spans="2:6" ht="18.600000000000001" thickBot="1" x14ac:dyDescent="0.4">
      <c r="B55" s="64" t="s">
        <v>348</v>
      </c>
      <c r="C55" s="65">
        <v>182.1</v>
      </c>
      <c r="D55" s="182">
        <v>307</v>
      </c>
      <c r="E55" s="182">
        <v>440.6</v>
      </c>
      <c r="F55" s="183">
        <v>604.1</v>
      </c>
    </row>
    <row r="56" spans="2:6" ht="18.600000000000001" thickTop="1" x14ac:dyDescent="0.35">
      <c r="B56"/>
      <c r="C56"/>
      <c r="D56" s="175"/>
      <c r="E56" s="175"/>
      <c r="F56" s="175"/>
    </row>
    <row r="57" spans="2:6" ht="34.799999999999997" x14ac:dyDescent="0.35">
      <c r="B57" s="66" t="s">
        <v>349</v>
      </c>
      <c r="C57"/>
      <c r="D57" s="175"/>
      <c r="E57" s="175"/>
      <c r="F57" s="175"/>
    </row>
    <row r="58" spans="2:6" ht="34.799999999999997" x14ac:dyDescent="0.35">
      <c r="B58" s="67" t="s">
        <v>350</v>
      </c>
      <c r="C58"/>
      <c r="D58" s="175"/>
      <c r="E58" s="175"/>
      <c r="F58" s="175"/>
    </row>
    <row r="59" spans="2:6" ht="34.799999999999997" x14ac:dyDescent="0.35">
      <c r="B59" s="67" t="s">
        <v>351</v>
      </c>
      <c r="C59"/>
      <c r="D59" s="175"/>
      <c r="E59" s="175"/>
      <c r="F59" s="175"/>
    </row>
    <row r="60" spans="2:6" ht="34.799999999999997" x14ac:dyDescent="0.35">
      <c r="B60" s="67" t="s">
        <v>352</v>
      </c>
      <c r="C60"/>
      <c r="D60" s="175"/>
      <c r="E60" s="175"/>
      <c r="F60" s="175"/>
    </row>
    <row r="61" spans="2:6" ht="34.799999999999997" x14ac:dyDescent="0.35">
      <c r="B61" s="67" t="s">
        <v>353</v>
      </c>
      <c r="C61"/>
      <c r="D61" s="175"/>
      <c r="E61" s="175"/>
      <c r="F61" s="175"/>
    </row>
    <row r="62" spans="2:6" ht="139.19999999999999" x14ac:dyDescent="0.35">
      <c r="B62" s="57" t="s">
        <v>354</v>
      </c>
      <c r="C62"/>
      <c r="D62" s="175"/>
      <c r="E62" s="175"/>
      <c r="F62" s="175"/>
    </row>
    <row r="63" spans="2:6" ht="104.4" x14ac:dyDescent="0.35">
      <c r="B63" s="57" t="s">
        <v>355</v>
      </c>
      <c r="C63"/>
      <c r="D63" s="175"/>
      <c r="E63" s="175"/>
      <c r="F63" s="175"/>
    </row>
    <row r="64" spans="2:6" ht="43.2" x14ac:dyDescent="0.35">
      <c r="B64" s="58" t="s">
        <v>356</v>
      </c>
      <c r="C64"/>
      <c r="D64" s="175"/>
      <c r="E64" s="175"/>
      <c r="F64" s="175"/>
    </row>
    <row r="65" spans="2:6" ht="66.599999999999994" x14ac:dyDescent="0.35">
      <c r="B65" s="56" t="s">
        <v>357</v>
      </c>
      <c r="C65"/>
      <c r="D65" s="175"/>
      <c r="E65" s="175"/>
      <c r="F65" s="175"/>
    </row>
    <row r="66" spans="2:6" ht="52.2" x14ac:dyDescent="0.35">
      <c r="B66" s="68" t="s">
        <v>358</v>
      </c>
      <c r="C66"/>
      <c r="D66" s="175"/>
      <c r="E66" s="175"/>
      <c r="F66" s="175"/>
    </row>
    <row r="67" spans="2:6" ht="52.2" x14ac:dyDescent="0.35">
      <c r="B67" s="57" t="s">
        <v>359</v>
      </c>
      <c r="C67"/>
      <c r="D67" s="175"/>
      <c r="E67" s="175"/>
      <c r="F67" s="175"/>
    </row>
    <row r="68" spans="2:6" ht="52.2" x14ac:dyDescent="0.35">
      <c r="B68" s="68" t="s">
        <v>360</v>
      </c>
      <c r="C68"/>
      <c r="D68" s="175"/>
      <c r="E68" s="175"/>
      <c r="F68" s="175"/>
    </row>
    <row r="69" spans="2:6" ht="52.2" x14ac:dyDescent="0.35">
      <c r="B69" s="57" t="s">
        <v>361</v>
      </c>
      <c r="C69"/>
      <c r="D69" s="175"/>
      <c r="E69" s="175"/>
      <c r="F69" s="175"/>
    </row>
    <row r="70" spans="2:6" ht="52.2" x14ac:dyDescent="0.35">
      <c r="B70" s="68" t="s">
        <v>362</v>
      </c>
      <c r="C70"/>
      <c r="D70" s="175"/>
      <c r="E70" s="175"/>
      <c r="F70" s="175"/>
    </row>
    <row r="71" spans="2:6" ht="34.799999999999997" x14ac:dyDescent="0.35">
      <c r="B71" s="57" t="s">
        <v>363</v>
      </c>
      <c r="C71"/>
      <c r="D71" s="175"/>
      <c r="E71" s="175"/>
      <c r="F71" s="175"/>
    </row>
    <row r="72" spans="2:6" ht="52.2" x14ac:dyDescent="0.35">
      <c r="B72" s="68" t="s">
        <v>364</v>
      </c>
      <c r="C72"/>
      <c r="D72" s="175"/>
      <c r="E72" s="175"/>
      <c r="F72" s="175"/>
    </row>
    <row r="73" spans="2:6" ht="34.799999999999997" x14ac:dyDescent="0.35">
      <c r="B73" s="57" t="s">
        <v>365</v>
      </c>
      <c r="C73"/>
      <c r="D73" s="175"/>
      <c r="E73" s="175"/>
      <c r="F73" s="175"/>
    </row>
    <row r="74" spans="2:6" ht="69.599999999999994" x14ac:dyDescent="0.35">
      <c r="B74" s="68" t="s">
        <v>366</v>
      </c>
      <c r="C74"/>
      <c r="D74" s="175"/>
      <c r="E74" s="175"/>
      <c r="F74" s="175"/>
    </row>
    <row r="75" spans="2:6" x14ac:dyDescent="0.35">
      <c r="B75" s="57" t="s">
        <v>367</v>
      </c>
      <c r="C75"/>
      <c r="D75" s="175"/>
      <c r="E75" s="175"/>
      <c r="F75" s="175"/>
    </row>
    <row r="76" spans="2:6" ht="52.2" x14ac:dyDescent="0.35">
      <c r="B76" s="68" t="s">
        <v>368</v>
      </c>
      <c r="C76"/>
      <c r="D76" s="175"/>
      <c r="E76" s="175"/>
      <c r="F76" s="175"/>
    </row>
    <row r="77" spans="2:6" ht="34.799999999999997" x14ac:dyDescent="0.35">
      <c r="B77" s="57" t="s">
        <v>369</v>
      </c>
      <c r="C77"/>
      <c r="D77" s="175"/>
      <c r="E77" s="175"/>
      <c r="F77" s="175"/>
    </row>
    <row r="78" spans="2:6" x14ac:dyDescent="0.35">
      <c r="B78" s="68" t="s">
        <v>370</v>
      </c>
      <c r="C78"/>
      <c r="D78" s="175"/>
      <c r="E78" s="175"/>
      <c r="F78" s="175"/>
    </row>
    <row r="79" spans="2:6" ht="28.8" x14ac:dyDescent="0.35">
      <c r="B79" s="58" t="s">
        <v>371</v>
      </c>
      <c r="C79"/>
      <c r="D79" s="175"/>
      <c r="E79" s="175"/>
      <c r="F79" s="175"/>
    </row>
  </sheetData>
  <mergeCells count="15">
    <mergeCell ref="A1:L1"/>
    <mergeCell ref="A2:L2"/>
    <mergeCell ref="A5:A6"/>
    <mergeCell ref="B5:B6"/>
    <mergeCell ref="C5:C6"/>
    <mergeCell ref="D5:D6"/>
    <mergeCell ref="F5:F6"/>
    <mergeCell ref="I5:I6"/>
    <mergeCell ref="J5:K5"/>
    <mergeCell ref="L5:L6"/>
    <mergeCell ref="B27:B29"/>
    <mergeCell ref="C27:F27"/>
    <mergeCell ref="G5:G6"/>
    <mergeCell ref="H5:H6"/>
    <mergeCell ref="E5:E6"/>
  </mergeCells>
  <hyperlinks>
    <hyperlink ref="B24" r:id="rId1" display="https://mayphatdienvogia.com/may-phat-dien-chay-dau/" xr:uid="{6F4EDEE4-2349-445A-BFCB-A30322F85A19}"/>
    <hyperlink ref="B31" r:id="rId2" display="https://mayphatdienvogia.com/may-phat-dien/may-phat-dien-30kva/" xr:uid="{3718D019-B194-489B-B36C-D0D966074C8C}"/>
    <hyperlink ref="B33" r:id="rId3" display="https://mayphatdienvogia.com/may-phat-dien/may-phat-dien-50kva/" xr:uid="{55BA9762-1154-4CEA-8A51-3B9C4A8B00C5}"/>
    <hyperlink ref="B35" r:id="rId4" display="https://mayphatdienvogia.com/may-phat-dien/may-phat-dien-100-kva/" xr:uid="{AD6AB6CB-0786-4070-886E-ACD6C995FE90}"/>
    <hyperlink ref="B37" r:id="rId5" display="https://mayphatdienvogia.com/may-phat-dien/may-phat-dien-150-kva/" xr:uid="{433821A8-B9C0-4E4C-AE4B-B00A25F151A7}"/>
    <hyperlink ref="B39" r:id="rId6" display="https://mayphatdienvogia.com/may-phat-dien/may-phat-dien-200kva/" xr:uid="{0D94A498-B4A0-433F-918F-BB10564568F9}"/>
    <hyperlink ref="B40" r:id="rId7" display="https://mayphatdienvogia.com/may-phat-dien/may-phat-dien-250-kva/" xr:uid="{3D120B97-9D5F-46FC-8FC1-6DBA3DA53B19}"/>
    <hyperlink ref="B41" r:id="rId8" display="https://mayphatdienvogia.com/may-phat-dien/may-phat-dien-300-kva/" xr:uid="{9BEED37B-3F4B-495B-9BE1-20E72F55B3CA}"/>
    <hyperlink ref="B42" r:id="rId9" display="https://mayphatdienvogia.com/may-phat-dien/may-phat-dien-350kva/" xr:uid="{8B53BD2F-FB8A-4017-9CF1-34DFC5F714DC}"/>
    <hyperlink ref="B43" r:id="rId10" display="https://mayphatdienvogia.com/may-phat-dien/may-phat-dien-400-kva/" xr:uid="{CD36E66F-28D2-45A5-B245-B83612F8CF3A}"/>
    <hyperlink ref="B44" r:id="rId11" display="https://mayphatdienvogia.com/may-phat-dien/may-phat-dien-450kva/" xr:uid="{005BCCDD-C842-4F7C-9221-25AFF7AB7D36}"/>
    <hyperlink ref="B45" r:id="rId12" display="https://mayphatdienvogia.com/may-phat-dien/may-phat-dien-500-kva/" xr:uid="{D78F75A5-D467-4BBF-9E8D-0383E557E047}"/>
    <hyperlink ref="B46" r:id="rId13" display="https://mayphatdienvogia.com/may-phat-dien/may-phat-dien-600kva/" xr:uid="{CEF83C28-CB37-4C31-AFF0-8E93AA005DF2}"/>
    <hyperlink ref="B48" r:id="rId14" display="https://mayphatdienvogia.com/may-phat-dien/may-phat-dien-750kva/" xr:uid="{0758FCA1-05F1-42F0-87E5-19BE97954F80}"/>
    <hyperlink ref="B49" r:id="rId15" display="https://mayphatdienvogia.com/may-phat-dien/may-phat-dien-800kva/" xr:uid="{85919240-F86A-4B02-9859-C02D17A9CA8B}"/>
    <hyperlink ref="B50" r:id="rId16" display="https://mayphatdienvogia.com/may-phat-dien/may-phat-dien-1000-kva/" xr:uid="{7D949394-40B2-43E2-A5CB-4ADEB0D1A3CE}"/>
    <hyperlink ref="B51" r:id="rId17" display="https://mayphatdienvogia.com/may-phat-dien/may-phat-dien-1250kva/" xr:uid="{5A061F56-49DF-43E4-A16C-029C8BD197D8}"/>
    <hyperlink ref="B52" r:id="rId18" display="https://mayphatdienvogia.com/may-phat-dien/may-phat-dien-1500kva/" xr:uid="{352B44F6-7519-4D3F-8457-57E6211B41D4}"/>
    <hyperlink ref="B54" r:id="rId19" display="https://mayphatdienvogia.com/may-phat-dien/may-phat-dien-2000-kva/" xr:uid="{2B39EC19-F5DD-47BD-AF30-C26D7F5C00DB}"/>
    <hyperlink ref="B55" r:id="rId20" display="https://mayphatdienvogia.com/may-phat-dien/may-phat-dien-2250kva/" xr:uid="{AAF89CDD-E0BB-460F-B063-26128C4922A8}"/>
    <hyperlink ref="B64" r:id="rId21" display="https://mayphatdienvogia.com/" xr:uid="{14DE426E-ECD5-4438-875E-55D08C4762B0}"/>
    <hyperlink ref="B79" r:id="rId22" display="https://mayphatdienvogia.com/" xr:uid="{72449EE9-7746-4F5D-B2F4-D0EB5EBC8D97}"/>
  </hyperlinks>
  <pageMargins left="0.7" right="0.7" top="0.75" bottom="0.75" header="0.3" footer="0.3"/>
  <pageSetup paperSize="9" orientation="landscape" verticalDpi="0"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topLeftCell="A4" zoomScale="115" zoomScaleNormal="115" workbookViewId="0">
      <selection activeCell="N12" sqref="N12"/>
    </sheetView>
  </sheetViews>
  <sheetFormatPr defaultColWidth="9.109375" defaultRowHeight="18" x14ac:dyDescent="0.35"/>
  <cols>
    <col min="1" max="1" width="4" style="185" customWidth="1"/>
    <col min="2" max="2" width="31.109375" style="185" customWidth="1"/>
    <col min="3" max="3" width="6.5546875" style="186" customWidth="1"/>
    <col min="4" max="4" width="6.5546875" style="185" hidden="1" customWidth="1"/>
    <col min="5" max="5" width="10.88671875" style="185" customWidth="1"/>
    <col min="6" max="6" width="6.88671875" style="186" customWidth="1"/>
    <col min="7" max="7" width="9.109375" style="185" customWidth="1"/>
    <col min="8" max="8" width="10.6640625" style="185" customWidth="1"/>
    <col min="9" max="9" width="9.88671875" style="185" customWidth="1"/>
    <col min="10" max="10" width="9.21875" style="185" customWidth="1"/>
    <col min="11" max="11" width="11.109375" style="185" customWidth="1"/>
    <col min="12" max="12" width="10.88671875" style="185" customWidth="1"/>
    <col min="13" max="13" width="11" style="185" bestFit="1" customWidth="1"/>
    <col min="14" max="16384" width="9.109375" style="185"/>
  </cols>
  <sheetData>
    <row r="1" spans="1:12" s="185" customFormat="1" x14ac:dyDescent="0.35">
      <c r="A1" s="184" t="s">
        <v>25</v>
      </c>
      <c r="B1" s="184"/>
      <c r="C1" s="184"/>
      <c r="D1" s="184"/>
      <c r="E1" s="184"/>
      <c r="F1" s="184"/>
      <c r="G1" s="184"/>
      <c r="H1" s="184"/>
      <c r="I1" s="184"/>
      <c r="J1" s="184"/>
      <c r="K1" s="184"/>
      <c r="L1" s="184"/>
    </row>
    <row r="2" spans="1:12" s="185" customFormat="1" x14ac:dyDescent="0.35">
      <c r="A2" s="184" t="s">
        <v>26</v>
      </c>
      <c r="B2" s="184"/>
      <c r="C2" s="184"/>
      <c r="D2" s="184"/>
      <c r="E2" s="184"/>
      <c r="F2" s="184"/>
      <c r="G2" s="184"/>
      <c r="H2" s="184"/>
      <c r="I2" s="184"/>
      <c r="J2" s="184"/>
      <c r="K2" s="184"/>
      <c r="L2" s="184"/>
    </row>
    <row r="4" spans="1:12" s="185" customFormat="1" x14ac:dyDescent="0.35">
      <c r="C4" s="186"/>
      <c r="F4" s="186"/>
      <c r="L4" s="187"/>
    </row>
    <row r="5" spans="1:12" s="185" customFormat="1" ht="18.75" customHeight="1" x14ac:dyDescent="0.35">
      <c r="A5" s="188" t="s">
        <v>3</v>
      </c>
      <c r="B5" s="188" t="s">
        <v>28</v>
      </c>
      <c r="C5" s="188" t="s">
        <v>29</v>
      </c>
      <c r="D5" s="188"/>
      <c r="E5" s="188" t="s">
        <v>30</v>
      </c>
      <c r="F5" s="188" t="s">
        <v>27</v>
      </c>
      <c r="G5" s="188" t="s">
        <v>31</v>
      </c>
      <c r="H5" s="188" t="s">
        <v>375</v>
      </c>
      <c r="I5" s="188" t="s">
        <v>209</v>
      </c>
      <c r="J5" s="188" t="s">
        <v>210</v>
      </c>
      <c r="K5" s="188" t="s">
        <v>211</v>
      </c>
      <c r="L5" s="188" t="s">
        <v>376</v>
      </c>
    </row>
    <row r="6" spans="1:12" s="185" customFormat="1" ht="41.4" customHeight="1" x14ac:dyDescent="0.35">
      <c r="A6" s="188"/>
      <c r="B6" s="188"/>
      <c r="C6" s="188"/>
      <c r="D6" s="188"/>
      <c r="E6" s="188"/>
      <c r="F6" s="188"/>
      <c r="G6" s="188"/>
      <c r="H6" s="188"/>
      <c r="I6" s="188"/>
      <c r="J6" s="188"/>
      <c r="K6" s="188"/>
      <c r="L6" s="188"/>
    </row>
    <row r="7" spans="1:12" s="185" customFormat="1" x14ac:dyDescent="0.35">
      <c r="A7" s="189">
        <v>1</v>
      </c>
      <c r="B7" s="189">
        <v>2</v>
      </c>
      <c r="C7" s="189">
        <v>3</v>
      </c>
      <c r="D7" s="189">
        <v>4</v>
      </c>
      <c r="E7" s="189">
        <v>5</v>
      </c>
      <c r="F7" s="189">
        <v>6</v>
      </c>
      <c r="G7" s="189">
        <v>7</v>
      </c>
      <c r="H7" s="189" t="s">
        <v>57</v>
      </c>
      <c r="I7" s="190" t="s">
        <v>212</v>
      </c>
      <c r="J7" s="190" t="s">
        <v>213</v>
      </c>
      <c r="K7" s="191" t="s">
        <v>214</v>
      </c>
      <c r="L7" s="189" t="s">
        <v>215</v>
      </c>
    </row>
    <row r="8" spans="1:12" s="185" customFormat="1" x14ac:dyDescent="0.35">
      <c r="A8" s="192"/>
      <c r="B8" s="192" t="s">
        <v>187</v>
      </c>
      <c r="C8" s="193"/>
      <c r="D8" s="194"/>
      <c r="E8" s="195"/>
      <c r="F8" s="193"/>
      <c r="G8" s="195"/>
      <c r="H8" s="194"/>
      <c r="I8" s="194"/>
      <c r="J8" s="194"/>
      <c r="K8" s="194"/>
      <c r="L8" s="194"/>
    </row>
    <row r="9" spans="1:12" s="185" customFormat="1" x14ac:dyDescent="0.35">
      <c r="A9" s="192" t="s">
        <v>161</v>
      </c>
      <c r="B9" s="192" t="s">
        <v>250</v>
      </c>
      <c r="C9" s="193"/>
      <c r="D9" s="194"/>
      <c r="E9" s="195"/>
      <c r="F9" s="193"/>
      <c r="G9" s="195"/>
      <c r="H9" s="196">
        <f>+SUM(H10:H14)</f>
        <v>51199200</v>
      </c>
      <c r="I9" s="196"/>
      <c r="J9" s="196"/>
      <c r="K9" s="197">
        <f>+SUM(K10:K14)</f>
        <v>68606928</v>
      </c>
      <c r="L9" s="198">
        <f>+SUM(L10:L14)</f>
        <v>823283136</v>
      </c>
    </row>
    <row r="10" spans="1:12" s="185" customFormat="1" x14ac:dyDescent="0.35">
      <c r="A10" s="199">
        <v>1</v>
      </c>
      <c r="B10" s="200" t="s">
        <v>223</v>
      </c>
      <c r="C10" s="193">
        <v>1</v>
      </c>
      <c r="D10" s="194">
        <v>1</v>
      </c>
      <c r="E10" s="195">
        <v>4160000</v>
      </c>
      <c r="F10" s="201">
        <v>1.52</v>
      </c>
      <c r="G10" s="195">
        <v>2340000</v>
      </c>
      <c r="H10" s="195">
        <f>(+D10*E10*F10+G10)*C10</f>
        <v>8663200</v>
      </c>
      <c r="I10" s="195">
        <f t="shared" ref="I10:I14" si="0">+H10*(10.5%+21.5%)</f>
        <v>2772224</v>
      </c>
      <c r="J10" s="195">
        <f>+H10*2%</f>
        <v>173264</v>
      </c>
      <c r="K10" s="195">
        <f>+J10+I10+H10</f>
        <v>11608688</v>
      </c>
      <c r="L10" s="195">
        <f>+K10*12</f>
        <v>139304256</v>
      </c>
    </row>
    <row r="11" spans="1:12" s="185" customFormat="1" x14ac:dyDescent="0.35">
      <c r="A11" s="199">
        <v>2</v>
      </c>
      <c r="B11" s="194" t="s">
        <v>125</v>
      </c>
      <c r="C11" s="193">
        <v>1</v>
      </c>
      <c r="D11" s="194">
        <v>1</v>
      </c>
      <c r="E11" s="195">
        <f>+E10</f>
        <v>4160000</v>
      </c>
      <c r="F11" s="193">
        <v>1</v>
      </c>
      <c r="G11" s="195">
        <f>2340000*0.6</f>
        <v>1404000</v>
      </c>
      <c r="H11" s="195">
        <f>(+D11*E11*F11+G11)*C11</f>
        <v>5564000</v>
      </c>
      <c r="I11" s="195">
        <f t="shared" si="0"/>
        <v>1780480</v>
      </c>
      <c r="J11" s="195">
        <f>+H11*2%</f>
        <v>111280</v>
      </c>
      <c r="K11" s="195">
        <f>+J11+I11+H11</f>
        <v>7455760</v>
      </c>
      <c r="L11" s="195">
        <f>+K11*12</f>
        <v>89469120</v>
      </c>
    </row>
    <row r="12" spans="1:12" s="185" customFormat="1" x14ac:dyDescent="0.35">
      <c r="A12" s="199">
        <v>3</v>
      </c>
      <c r="B12" s="194" t="s">
        <v>126</v>
      </c>
      <c r="C12" s="193">
        <v>1</v>
      </c>
      <c r="D12" s="194">
        <v>1</v>
      </c>
      <c r="E12" s="195">
        <f>+E11</f>
        <v>4160000</v>
      </c>
      <c r="F12" s="193">
        <v>1.2</v>
      </c>
      <c r="G12" s="195">
        <f>+G11</f>
        <v>1404000</v>
      </c>
      <c r="H12" s="195">
        <f>(+D12*E12*F12+G12)*C12</f>
        <v>6396000</v>
      </c>
      <c r="I12" s="195">
        <f t="shared" si="0"/>
        <v>2046720</v>
      </c>
      <c r="J12" s="195">
        <f t="shared" ref="J12:J14" si="1">+H12*2%</f>
        <v>127920</v>
      </c>
      <c r="K12" s="195">
        <f t="shared" ref="K12:K14" si="2">+J12+I12+H12</f>
        <v>8570640</v>
      </c>
      <c r="L12" s="195">
        <f t="shared" ref="L12:L14" si="3">+K12*12</f>
        <v>102847680</v>
      </c>
    </row>
    <row r="13" spans="1:12" s="185" customFormat="1" x14ac:dyDescent="0.35">
      <c r="A13" s="199">
        <v>4</v>
      </c>
      <c r="B13" s="202" t="s">
        <v>222</v>
      </c>
      <c r="C13" s="193">
        <v>4</v>
      </c>
      <c r="D13" s="194">
        <v>1</v>
      </c>
      <c r="E13" s="195">
        <v>4160000</v>
      </c>
      <c r="F13" s="203">
        <v>1</v>
      </c>
      <c r="G13" s="204">
        <f>2340000*0.4</f>
        <v>936000</v>
      </c>
      <c r="H13" s="195">
        <f>(+D13*E13*F13+G13)*C13</f>
        <v>20384000</v>
      </c>
      <c r="I13" s="195">
        <f t="shared" si="0"/>
        <v>6522880</v>
      </c>
      <c r="J13" s="195">
        <f t="shared" si="1"/>
        <v>407680</v>
      </c>
      <c r="K13" s="195">
        <f t="shared" si="2"/>
        <v>27314560</v>
      </c>
      <c r="L13" s="195">
        <f t="shared" si="3"/>
        <v>327774720</v>
      </c>
    </row>
    <row r="14" spans="1:12" s="185" customFormat="1" x14ac:dyDescent="0.35">
      <c r="A14" s="199">
        <v>5</v>
      </c>
      <c r="B14" s="202" t="s">
        <v>56</v>
      </c>
      <c r="C14" s="193">
        <v>2</v>
      </c>
      <c r="D14" s="194">
        <v>1</v>
      </c>
      <c r="E14" s="195">
        <v>4160000</v>
      </c>
      <c r="F14" s="203">
        <v>1</v>
      </c>
      <c r="G14" s="204">
        <f>2340000*0.4</f>
        <v>936000</v>
      </c>
      <c r="H14" s="195">
        <f>(+D14*E14*F14+G14)*C14</f>
        <v>10192000</v>
      </c>
      <c r="I14" s="195">
        <f t="shared" si="0"/>
        <v>3261440</v>
      </c>
      <c r="J14" s="195">
        <f t="shared" si="1"/>
        <v>203840</v>
      </c>
      <c r="K14" s="195">
        <f t="shared" si="2"/>
        <v>13657280</v>
      </c>
      <c r="L14" s="195">
        <f t="shared" si="3"/>
        <v>163887360</v>
      </c>
    </row>
    <row r="15" spans="1:12" s="185" customFormat="1" x14ac:dyDescent="0.35">
      <c r="A15" s="192" t="s">
        <v>133</v>
      </c>
      <c r="B15" s="205" t="s">
        <v>248</v>
      </c>
      <c r="C15" s="193"/>
      <c r="D15" s="194"/>
      <c r="E15" s="195"/>
      <c r="F15" s="193"/>
      <c r="G15" s="195"/>
      <c r="H15" s="196">
        <f>+SUM(H16:H19)</f>
        <v>19323200</v>
      </c>
      <c r="I15" s="196"/>
      <c r="J15" s="196"/>
      <c r="K15" s="197">
        <f>+SUM(K16:K19)</f>
        <v>25893088</v>
      </c>
      <c r="L15" s="198">
        <f>+SUM(L16:L19)</f>
        <v>310717056</v>
      </c>
    </row>
    <row r="16" spans="1:12" s="185" customFormat="1" x14ac:dyDescent="0.35">
      <c r="A16" s="199">
        <v>1</v>
      </c>
      <c r="B16" s="200" t="s">
        <v>234</v>
      </c>
      <c r="C16" s="193">
        <v>1</v>
      </c>
      <c r="D16" s="194">
        <v>1</v>
      </c>
      <c r="E16" s="195">
        <v>4160000</v>
      </c>
      <c r="F16" s="201">
        <v>1.52</v>
      </c>
      <c r="G16" s="195">
        <v>2340000</v>
      </c>
      <c r="H16" s="195">
        <f>(+D16*E16*F16+G16)*C16</f>
        <v>8663200</v>
      </c>
      <c r="I16" s="195">
        <f t="shared" ref="I16:I18" si="4">+H16*(10.5%+21.5%)</f>
        <v>2772224</v>
      </c>
      <c r="J16" s="195">
        <f>+H16*2%</f>
        <v>173264</v>
      </c>
      <c r="K16" s="195">
        <f>+J16+I16+H16</f>
        <v>11608688</v>
      </c>
      <c r="L16" s="195">
        <f>+K16*12</f>
        <v>139304256</v>
      </c>
    </row>
    <row r="17" spans="1:12" s="185" customFormat="1" x14ac:dyDescent="0.35">
      <c r="A17" s="199">
        <v>2</v>
      </c>
      <c r="B17" s="194" t="s">
        <v>235</v>
      </c>
      <c r="C17" s="193">
        <v>1</v>
      </c>
      <c r="D17" s="194">
        <v>1</v>
      </c>
      <c r="E17" s="195">
        <f>+E16</f>
        <v>4160000</v>
      </c>
      <c r="F17" s="193">
        <v>1</v>
      </c>
      <c r="G17" s="195">
        <f>2340000*0.6</f>
        <v>1404000</v>
      </c>
      <c r="H17" s="195">
        <f>(+D17*E17*F17+G17)*C17</f>
        <v>5564000</v>
      </c>
      <c r="I17" s="195">
        <f t="shared" si="4"/>
        <v>1780480</v>
      </c>
      <c r="J17" s="195">
        <f>+H17*2%</f>
        <v>111280</v>
      </c>
      <c r="K17" s="195">
        <f>+J17+I17+H17</f>
        <v>7455760</v>
      </c>
      <c r="L17" s="195">
        <f>+K17*12</f>
        <v>89469120</v>
      </c>
    </row>
    <row r="18" spans="1:12" s="185" customFormat="1" x14ac:dyDescent="0.35">
      <c r="A18" s="199">
        <v>3</v>
      </c>
      <c r="B18" s="202" t="s">
        <v>236</v>
      </c>
      <c r="C18" s="193">
        <v>1</v>
      </c>
      <c r="D18" s="194">
        <v>1</v>
      </c>
      <c r="E18" s="195">
        <v>4160000</v>
      </c>
      <c r="F18" s="203">
        <v>1</v>
      </c>
      <c r="G18" s="204">
        <f>2340000*0.4</f>
        <v>936000</v>
      </c>
      <c r="H18" s="195">
        <f>(+D18*E18*F18+G18)*C18</f>
        <v>5096000</v>
      </c>
      <c r="I18" s="195">
        <f t="shared" si="4"/>
        <v>1630720</v>
      </c>
      <c r="J18" s="195">
        <f t="shared" ref="J18" si="5">+H18*2%</f>
        <v>101920</v>
      </c>
      <c r="K18" s="195">
        <f t="shared" ref="K18" si="6">+J18+I18+H18</f>
        <v>6828640</v>
      </c>
      <c r="L18" s="195">
        <f t="shared" ref="L18" si="7">+K18*12</f>
        <v>81943680</v>
      </c>
    </row>
    <row r="19" spans="1:12" s="185" customFormat="1" x14ac:dyDescent="0.35">
      <c r="A19" s="199"/>
      <c r="B19" s="202"/>
      <c r="C19" s="193"/>
      <c r="D19" s="194"/>
      <c r="E19" s="195"/>
      <c r="F19" s="203"/>
      <c r="G19" s="204"/>
      <c r="H19" s="195"/>
      <c r="I19" s="195"/>
      <c r="J19" s="195"/>
      <c r="K19" s="195"/>
      <c r="L19" s="195"/>
    </row>
    <row r="21" spans="1:12" s="185" customFormat="1" x14ac:dyDescent="0.35">
      <c r="B21" s="185" t="s">
        <v>374</v>
      </c>
      <c r="C21" s="186"/>
      <c r="F21" s="186"/>
      <c r="G21" s="206"/>
    </row>
  </sheetData>
  <mergeCells count="14">
    <mergeCell ref="G5:G6"/>
    <mergeCell ref="L5:L6"/>
    <mergeCell ref="A1:L1"/>
    <mergeCell ref="A2:L2"/>
    <mergeCell ref="A5:A6"/>
    <mergeCell ref="B5:B6"/>
    <mergeCell ref="C5:C6"/>
    <mergeCell ref="F5:F6"/>
    <mergeCell ref="E5:E6"/>
    <mergeCell ref="D5:D6"/>
    <mergeCell ref="H5:H6"/>
    <mergeCell ref="I5:I6"/>
    <mergeCell ref="J5:J6"/>
    <mergeCell ref="K5:K6"/>
  </mergeCells>
  <pageMargins left="1.36"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8"/>
  <sheetViews>
    <sheetView topLeftCell="A4" zoomScale="142" zoomScaleNormal="142" workbookViewId="0">
      <selection activeCell="B30" sqref="B30"/>
    </sheetView>
  </sheetViews>
  <sheetFormatPr defaultColWidth="9.109375" defaultRowHeight="18" x14ac:dyDescent="0.35"/>
  <cols>
    <col min="1" max="1" width="5.109375" style="157" bestFit="1" customWidth="1"/>
    <col min="2" max="2" width="32.44140625" style="1" customWidth="1"/>
    <col min="3" max="3" width="8.5546875" style="170" customWidth="1"/>
    <col min="4" max="4" width="9.109375" style="170" customWidth="1"/>
    <col min="5" max="5" width="10.44140625" style="170" customWidth="1"/>
    <col min="6" max="6" width="8.109375" style="1" customWidth="1"/>
    <col min="7" max="7" width="11.44140625" style="1" customWidth="1"/>
    <col min="8" max="8" width="11.33203125" style="1" customWidth="1"/>
    <col min="9" max="9" width="18.5546875" style="1" customWidth="1"/>
    <col min="10" max="16384" width="9.109375" style="1"/>
  </cols>
  <sheetData>
    <row r="1" spans="1:12" x14ac:dyDescent="0.35">
      <c r="A1" s="207" t="s">
        <v>32</v>
      </c>
      <c r="B1" s="207"/>
      <c r="C1" s="207"/>
      <c r="D1" s="207"/>
      <c r="E1" s="207"/>
      <c r="F1" s="207"/>
      <c r="G1" s="207"/>
      <c r="H1" s="207"/>
      <c r="I1" s="207"/>
    </row>
    <row r="2" spans="1:12" x14ac:dyDescent="0.35">
      <c r="A2" s="207" t="s">
        <v>189</v>
      </c>
      <c r="B2" s="207"/>
      <c r="C2" s="207"/>
      <c r="D2" s="207"/>
      <c r="E2" s="207"/>
      <c r="F2" s="207"/>
      <c r="G2" s="207"/>
      <c r="H2" s="207"/>
      <c r="I2" s="207"/>
    </row>
    <row r="3" spans="1:12" x14ac:dyDescent="0.35">
      <c r="A3" s="156"/>
      <c r="B3" s="71" t="s">
        <v>248</v>
      </c>
      <c r="C3" s="169"/>
      <c r="D3" s="169"/>
      <c r="E3" s="169"/>
      <c r="F3" s="71"/>
      <c r="G3" s="208"/>
      <c r="H3" s="71"/>
      <c r="I3" s="71"/>
    </row>
    <row r="4" spans="1:12" s="24" customFormat="1" ht="18.75" customHeight="1" x14ac:dyDescent="0.3">
      <c r="A4" s="209" t="s">
        <v>3</v>
      </c>
      <c r="B4" s="209" t="s">
        <v>28</v>
      </c>
      <c r="C4" s="209" t="s">
        <v>29</v>
      </c>
      <c r="D4" s="209" t="s">
        <v>35</v>
      </c>
      <c r="E4" s="209" t="s">
        <v>176</v>
      </c>
      <c r="F4" s="209" t="s">
        <v>377</v>
      </c>
      <c r="G4" s="158" t="s">
        <v>36</v>
      </c>
      <c r="H4" s="158"/>
      <c r="I4" s="209" t="s">
        <v>9</v>
      </c>
    </row>
    <row r="5" spans="1:12" s="24" customFormat="1" ht="29.4" customHeight="1" x14ac:dyDescent="0.3">
      <c r="A5" s="209"/>
      <c r="B5" s="209"/>
      <c r="C5" s="209"/>
      <c r="D5" s="209"/>
      <c r="E5" s="209"/>
      <c r="F5" s="209"/>
      <c r="G5" s="76" t="s">
        <v>7</v>
      </c>
      <c r="H5" s="76" t="s">
        <v>8</v>
      </c>
      <c r="I5" s="209"/>
    </row>
    <row r="6" spans="1:12" x14ac:dyDescent="0.35">
      <c r="A6" s="210">
        <v>1</v>
      </c>
      <c r="B6" s="210">
        <v>2</v>
      </c>
      <c r="C6" s="210">
        <v>3</v>
      </c>
      <c r="D6" s="210">
        <v>4</v>
      </c>
      <c r="E6" s="210">
        <v>5</v>
      </c>
      <c r="F6" s="210">
        <v>6</v>
      </c>
      <c r="G6" s="210">
        <v>7</v>
      </c>
      <c r="H6" s="210">
        <v>8</v>
      </c>
      <c r="I6" s="211"/>
    </row>
    <row r="7" spans="1:12" x14ac:dyDescent="0.35">
      <c r="A7" s="210"/>
      <c r="B7" s="212" t="s">
        <v>113</v>
      </c>
      <c r="C7" s="212"/>
      <c r="D7" s="212"/>
      <c r="E7" s="212"/>
      <c r="F7" s="212"/>
      <c r="G7" s="213">
        <f>+G8+G9+G13+G14+G15</f>
        <v>12555921.779999999</v>
      </c>
      <c r="H7" s="213">
        <f>+H8+H9+H13+H14+H15</f>
        <v>150671061.35999998</v>
      </c>
      <c r="I7" s="211"/>
    </row>
    <row r="8" spans="1:12" x14ac:dyDescent="0.35">
      <c r="A8" s="222">
        <v>1</v>
      </c>
      <c r="B8" s="214" t="s">
        <v>188</v>
      </c>
      <c r="C8" s="222">
        <v>64</v>
      </c>
      <c r="D8" s="222">
        <v>2.4E-2</v>
      </c>
      <c r="E8" s="222">
        <f>12*30</f>
        <v>360</v>
      </c>
      <c r="F8" s="214">
        <v>2027</v>
      </c>
      <c r="G8" s="215">
        <f>+F8*E8*D8*C8</f>
        <v>1120849.9199999999</v>
      </c>
      <c r="H8" s="215">
        <f>+G8*12</f>
        <v>13450199.039999999</v>
      </c>
      <c r="I8" s="216" t="s">
        <v>205</v>
      </c>
    </row>
    <row r="9" spans="1:12" x14ac:dyDescent="0.35">
      <c r="A9" s="222">
        <v>2</v>
      </c>
      <c r="B9" s="214" t="s">
        <v>37</v>
      </c>
      <c r="C9" s="223"/>
      <c r="D9" s="223"/>
      <c r="E9" s="223"/>
      <c r="F9" s="214">
        <v>2027</v>
      </c>
      <c r="G9" s="215">
        <f>+G10+G11+G12</f>
        <v>1998332.8199999998</v>
      </c>
      <c r="H9" s="215">
        <f t="shared" ref="H9:H15" si="0">+G9*12</f>
        <v>23979993.839999996</v>
      </c>
      <c r="I9" s="211"/>
    </row>
    <row r="10" spans="1:12" s="25" customFormat="1" x14ac:dyDescent="0.35">
      <c r="A10" s="210">
        <v>2.1</v>
      </c>
      <c r="B10" s="218" t="s">
        <v>60</v>
      </c>
      <c r="C10" s="210">
        <v>67</v>
      </c>
      <c r="D10" s="210">
        <v>8.9999999999999993E-3</v>
      </c>
      <c r="E10" s="210">
        <f>6*30</f>
        <v>180</v>
      </c>
      <c r="F10" s="217">
        <v>2027</v>
      </c>
      <c r="G10" s="219">
        <f>+F10*E10*D10*C10</f>
        <v>220010.58</v>
      </c>
      <c r="H10" s="219">
        <f t="shared" si="0"/>
        <v>2640126.96</v>
      </c>
      <c r="I10" s="216" t="s">
        <v>203</v>
      </c>
    </row>
    <row r="11" spans="1:12" s="25" customFormat="1" x14ac:dyDescent="0.35">
      <c r="A11" s="210">
        <v>2.2000000000000002</v>
      </c>
      <c r="B11" s="218" t="s">
        <v>372</v>
      </c>
      <c r="C11" s="210">
        <v>2</v>
      </c>
      <c r="D11" s="210">
        <f>+D8</f>
        <v>2.4E-2</v>
      </c>
      <c r="E11" s="210">
        <f>+E10</f>
        <v>180</v>
      </c>
      <c r="F11" s="217">
        <v>2027</v>
      </c>
      <c r="G11" s="219">
        <f t="shared" ref="G11:G15" si="1">+F11*E11*D11*C11</f>
        <v>17513.28</v>
      </c>
      <c r="H11" s="219">
        <f t="shared" si="0"/>
        <v>210159.35999999999</v>
      </c>
      <c r="I11" s="216" t="s">
        <v>203</v>
      </c>
    </row>
    <row r="12" spans="1:12" s="25" customFormat="1" x14ac:dyDescent="0.35">
      <c r="A12" s="210">
        <v>2.2999999999999998</v>
      </c>
      <c r="B12" s="218" t="s">
        <v>61</v>
      </c>
      <c r="C12" s="210">
        <f>22+21+21</f>
        <v>64</v>
      </c>
      <c r="D12" s="210">
        <f>+D11</f>
        <v>2.4E-2</v>
      </c>
      <c r="E12" s="210">
        <v>360</v>
      </c>
      <c r="F12" s="220">
        <f>(2870+1746+4937)/3</f>
        <v>3184.3333333333335</v>
      </c>
      <c r="G12" s="219">
        <f t="shared" si="1"/>
        <v>1760808.96</v>
      </c>
      <c r="H12" s="219">
        <f t="shared" si="0"/>
        <v>21129707.52</v>
      </c>
      <c r="I12" s="216" t="s">
        <v>205</v>
      </c>
      <c r="K12" s="41" t="s">
        <v>219</v>
      </c>
    </row>
    <row r="13" spans="1:12" x14ac:dyDescent="0.35">
      <c r="A13" s="222">
        <v>3</v>
      </c>
      <c r="B13" s="216" t="s">
        <v>38</v>
      </c>
      <c r="C13" s="222">
        <v>660</v>
      </c>
      <c r="D13" s="222">
        <v>1.7999999999999999E-2</v>
      </c>
      <c r="E13" s="222">
        <v>360</v>
      </c>
      <c r="F13" s="214">
        <v>2027</v>
      </c>
      <c r="G13" s="215">
        <f t="shared" si="1"/>
        <v>8669073.5999999996</v>
      </c>
      <c r="H13" s="215">
        <f t="shared" si="0"/>
        <v>104028883.19999999</v>
      </c>
      <c r="I13" s="216" t="s">
        <v>205</v>
      </c>
      <c r="K13" s="1">
        <v>2870</v>
      </c>
      <c r="L13" s="1">
        <f>SUM(K13:K15)/3</f>
        <v>1538.6666666666667</v>
      </c>
    </row>
    <row r="14" spans="1:12" ht="26.4" x14ac:dyDescent="0.35">
      <c r="A14" s="222">
        <v>4</v>
      </c>
      <c r="B14" s="214" t="s">
        <v>39</v>
      </c>
      <c r="C14" s="222">
        <v>4</v>
      </c>
      <c r="D14" s="224">
        <f>+D11</f>
        <v>2.4E-2</v>
      </c>
      <c r="E14" s="222">
        <f>1*30</f>
        <v>30</v>
      </c>
      <c r="F14" s="214">
        <v>2027</v>
      </c>
      <c r="G14" s="215">
        <f t="shared" si="1"/>
        <v>5837.76</v>
      </c>
      <c r="H14" s="215">
        <f t="shared" si="0"/>
        <v>70053.119999999995</v>
      </c>
      <c r="I14" s="221" t="s">
        <v>112</v>
      </c>
    </row>
    <row r="15" spans="1:12" x14ac:dyDescent="0.35">
      <c r="A15" s="222">
        <v>5</v>
      </c>
      <c r="B15" s="214" t="s">
        <v>62</v>
      </c>
      <c r="C15" s="222">
        <v>174</v>
      </c>
      <c r="D15" s="222">
        <f>3/1000</f>
        <v>3.0000000000000001E-3</v>
      </c>
      <c r="E15" s="222">
        <v>720</v>
      </c>
      <c r="F15" s="214">
        <v>2027</v>
      </c>
      <c r="G15" s="215">
        <f t="shared" si="1"/>
        <v>761827.67999999993</v>
      </c>
      <c r="H15" s="215">
        <f t="shared" si="0"/>
        <v>9141932.1600000001</v>
      </c>
      <c r="I15" s="216" t="s">
        <v>204</v>
      </c>
      <c r="K15" s="1">
        <v>1746</v>
      </c>
    </row>
    <row r="16" spans="1:12" x14ac:dyDescent="0.35">
      <c r="A16" s="156"/>
      <c r="B16" s="71" t="s">
        <v>250</v>
      </c>
      <c r="C16" s="169"/>
      <c r="D16" s="169"/>
      <c r="E16" s="169"/>
      <c r="F16" s="71"/>
      <c r="G16" s="71"/>
      <c r="H16" s="71"/>
      <c r="I16" s="71"/>
    </row>
    <row r="17" spans="1:9" x14ac:dyDescent="0.35">
      <c r="A17" s="209" t="s">
        <v>3</v>
      </c>
      <c r="B17" s="209" t="s">
        <v>28</v>
      </c>
      <c r="C17" s="209" t="s">
        <v>29</v>
      </c>
      <c r="D17" s="209" t="s">
        <v>35</v>
      </c>
      <c r="E17" s="209" t="s">
        <v>176</v>
      </c>
      <c r="F17" s="209" t="s">
        <v>377</v>
      </c>
      <c r="G17" s="158" t="s">
        <v>36</v>
      </c>
      <c r="H17" s="158"/>
      <c r="I17" s="209" t="s">
        <v>9</v>
      </c>
    </row>
    <row r="18" spans="1:9" ht="25.2" customHeight="1" x14ac:dyDescent="0.35">
      <c r="A18" s="209"/>
      <c r="B18" s="209"/>
      <c r="C18" s="209"/>
      <c r="D18" s="209"/>
      <c r="E18" s="209"/>
      <c r="F18" s="209"/>
      <c r="G18" s="76" t="s">
        <v>7</v>
      </c>
      <c r="H18" s="76" t="s">
        <v>8</v>
      </c>
      <c r="I18" s="209"/>
    </row>
    <row r="19" spans="1:9" x14ac:dyDescent="0.35">
      <c r="A19" s="210">
        <v>1</v>
      </c>
      <c r="B19" s="210">
        <v>2</v>
      </c>
      <c r="C19" s="210">
        <v>3</v>
      </c>
      <c r="D19" s="210">
        <v>4</v>
      </c>
      <c r="E19" s="210">
        <v>5</v>
      </c>
      <c r="F19" s="210">
        <v>6</v>
      </c>
      <c r="G19" s="210">
        <v>7</v>
      </c>
      <c r="H19" s="210">
        <v>8</v>
      </c>
      <c r="I19" s="211"/>
    </row>
    <row r="20" spans="1:9" x14ac:dyDescent="0.35">
      <c r="A20" s="210"/>
      <c r="B20" s="212" t="s">
        <v>113</v>
      </c>
      <c r="C20" s="212"/>
      <c r="D20" s="212"/>
      <c r="E20" s="212"/>
      <c r="F20" s="212"/>
      <c r="G20" s="213">
        <f>+G21+G22+G26+G27+G28</f>
        <v>37667765.339999996</v>
      </c>
      <c r="H20" s="213">
        <f>+H21+H22+H26+H27+H28</f>
        <v>452013184.07999998</v>
      </c>
      <c r="I20" s="211"/>
    </row>
    <row r="21" spans="1:9" ht="26.4" x14ac:dyDescent="0.35">
      <c r="A21" s="222">
        <v>1</v>
      </c>
      <c r="B21" s="214" t="s">
        <v>188</v>
      </c>
      <c r="C21" s="222">
        <f>64*3</f>
        <v>192</v>
      </c>
      <c r="D21" s="222">
        <v>2.4E-2</v>
      </c>
      <c r="E21" s="222">
        <f>12*30</f>
        <v>360</v>
      </c>
      <c r="F21" s="214">
        <v>2027</v>
      </c>
      <c r="G21" s="215">
        <f>+F21*E21*D21*C21</f>
        <v>3362549.7599999998</v>
      </c>
      <c r="H21" s="215">
        <f>+G21*12</f>
        <v>40350597.119999997</v>
      </c>
      <c r="I21" s="216" t="s">
        <v>205</v>
      </c>
    </row>
    <row r="22" spans="1:9" x14ac:dyDescent="0.35">
      <c r="A22" s="222">
        <v>2</v>
      </c>
      <c r="B22" s="214" t="s">
        <v>37</v>
      </c>
      <c r="C22" s="223"/>
      <c r="D22" s="223"/>
      <c r="E22" s="223"/>
      <c r="F22" s="214">
        <v>2027</v>
      </c>
      <c r="G22" s="215">
        <f>+G23+G24+G25</f>
        <v>5994998.46</v>
      </c>
      <c r="H22" s="215">
        <f t="shared" ref="H22:H28" si="2">+G22*12</f>
        <v>71939981.519999996</v>
      </c>
      <c r="I22" s="211"/>
    </row>
    <row r="23" spans="1:9" ht="26.4" x14ac:dyDescent="0.35">
      <c r="A23" s="210">
        <v>2.1</v>
      </c>
      <c r="B23" s="218" t="s">
        <v>60</v>
      </c>
      <c r="C23" s="210">
        <f>67*3</f>
        <v>201</v>
      </c>
      <c r="D23" s="210">
        <v>8.9999999999999993E-3</v>
      </c>
      <c r="E23" s="210">
        <f>6*30</f>
        <v>180</v>
      </c>
      <c r="F23" s="217">
        <v>2027</v>
      </c>
      <c r="G23" s="219">
        <f>+F23*E23*D23*C23</f>
        <v>660031.74</v>
      </c>
      <c r="H23" s="219">
        <f t="shared" si="2"/>
        <v>7920380.8799999999</v>
      </c>
      <c r="I23" s="216" t="s">
        <v>203</v>
      </c>
    </row>
    <row r="24" spans="1:9" x14ac:dyDescent="0.35">
      <c r="A24" s="210">
        <v>2.2000000000000002</v>
      </c>
      <c r="B24" s="218" t="s">
        <v>372</v>
      </c>
      <c r="C24" s="210">
        <f>2*3</f>
        <v>6</v>
      </c>
      <c r="D24" s="210">
        <f>+D21</f>
        <v>2.4E-2</v>
      </c>
      <c r="E24" s="210">
        <f>+E23</f>
        <v>180</v>
      </c>
      <c r="F24" s="217">
        <v>2027</v>
      </c>
      <c r="G24" s="219">
        <f t="shared" ref="G24:G28" si="3">+F24*E24*D24*C24</f>
        <v>52539.839999999997</v>
      </c>
      <c r="H24" s="219">
        <f t="shared" si="2"/>
        <v>630478.07999999996</v>
      </c>
      <c r="I24" s="216" t="s">
        <v>203</v>
      </c>
    </row>
    <row r="25" spans="1:9" x14ac:dyDescent="0.35">
      <c r="A25" s="210">
        <v>2.2999999999999998</v>
      </c>
      <c r="B25" s="218" t="s">
        <v>61</v>
      </c>
      <c r="C25" s="210">
        <f>(22+21+21)*3</f>
        <v>192</v>
      </c>
      <c r="D25" s="210">
        <f>+D24</f>
        <v>2.4E-2</v>
      </c>
      <c r="E25" s="210">
        <v>360</v>
      </c>
      <c r="F25" s="220">
        <f>(2870+1746+4937)/3</f>
        <v>3184.3333333333335</v>
      </c>
      <c r="G25" s="219">
        <f t="shared" si="3"/>
        <v>5282426.8799999999</v>
      </c>
      <c r="H25" s="219">
        <f t="shared" si="2"/>
        <v>63389122.560000002</v>
      </c>
      <c r="I25" s="216" t="s">
        <v>205</v>
      </c>
    </row>
    <row r="26" spans="1:9" ht="26.4" x14ac:dyDescent="0.35">
      <c r="A26" s="222">
        <v>3</v>
      </c>
      <c r="B26" s="216" t="s">
        <v>38</v>
      </c>
      <c r="C26" s="222">
        <f>660*3</f>
        <v>1980</v>
      </c>
      <c r="D26" s="222">
        <v>1.7999999999999999E-2</v>
      </c>
      <c r="E26" s="222">
        <v>360</v>
      </c>
      <c r="F26" s="214">
        <v>2027</v>
      </c>
      <c r="G26" s="215">
        <f t="shared" si="3"/>
        <v>26007220.799999997</v>
      </c>
      <c r="H26" s="215">
        <f t="shared" si="2"/>
        <v>312086649.59999996</v>
      </c>
      <c r="I26" s="216" t="s">
        <v>205</v>
      </c>
    </row>
    <row r="27" spans="1:9" ht="26.4" x14ac:dyDescent="0.35">
      <c r="A27" s="222">
        <v>4</v>
      </c>
      <c r="B27" s="214" t="s">
        <v>39</v>
      </c>
      <c r="C27" s="222">
        <f>4*3</f>
        <v>12</v>
      </c>
      <c r="D27" s="224">
        <f>+D24</f>
        <v>2.4E-2</v>
      </c>
      <c r="E27" s="222">
        <f>1*30</f>
        <v>30</v>
      </c>
      <c r="F27" s="214">
        <v>2027</v>
      </c>
      <c r="G27" s="215">
        <f t="shared" si="3"/>
        <v>17513.28</v>
      </c>
      <c r="H27" s="215">
        <f t="shared" si="2"/>
        <v>210159.35999999999</v>
      </c>
      <c r="I27" s="221" t="s">
        <v>112</v>
      </c>
    </row>
    <row r="28" spans="1:9" x14ac:dyDescent="0.35">
      <c r="A28" s="222">
        <v>5</v>
      </c>
      <c r="B28" s="214" t="s">
        <v>62</v>
      </c>
      <c r="C28" s="222">
        <f>174*3</f>
        <v>522</v>
      </c>
      <c r="D28" s="222">
        <f>3/1000</f>
        <v>3.0000000000000001E-3</v>
      </c>
      <c r="E28" s="222">
        <v>720</v>
      </c>
      <c r="F28" s="214">
        <v>2027</v>
      </c>
      <c r="G28" s="215">
        <f t="shared" si="3"/>
        <v>2285483.04</v>
      </c>
      <c r="H28" s="215">
        <f t="shared" si="2"/>
        <v>27425796.48</v>
      </c>
      <c r="I28" s="216" t="s">
        <v>204</v>
      </c>
    </row>
  </sheetData>
  <mergeCells count="18">
    <mergeCell ref="I4:I5"/>
    <mergeCell ref="A1:I1"/>
    <mergeCell ref="A2:I2"/>
    <mergeCell ref="A4:A5"/>
    <mergeCell ref="B4:B5"/>
    <mergeCell ref="C4:C5"/>
    <mergeCell ref="D4:D5"/>
    <mergeCell ref="E4:E5"/>
    <mergeCell ref="F4:F5"/>
    <mergeCell ref="G4:H4"/>
    <mergeCell ref="F17:F18"/>
    <mergeCell ref="G17:H17"/>
    <mergeCell ref="I17:I18"/>
    <mergeCell ref="A17:A18"/>
    <mergeCell ref="B17:B18"/>
    <mergeCell ref="C17:C18"/>
    <mergeCell ref="D17:D18"/>
    <mergeCell ref="E17:E18"/>
  </mergeCells>
  <pageMargins left="1.36"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7"/>
  <sheetViews>
    <sheetView topLeftCell="A42" zoomScale="142" zoomScaleNormal="142" workbookViewId="0">
      <selection activeCell="H54" sqref="H54"/>
    </sheetView>
  </sheetViews>
  <sheetFormatPr defaultColWidth="9.109375" defaultRowHeight="18" x14ac:dyDescent="0.35"/>
  <cols>
    <col min="1" max="1" width="5.109375" style="1" bestFit="1" customWidth="1"/>
    <col min="2" max="2" width="34.109375" style="1" customWidth="1"/>
    <col min="3" max="3" width="9" style="1" customWidth="1"/>
    <col min="4" max="4" width="8.5546875" style="157" customWidth="1"/>
    <col min="5" max="5" width="12" style="1" customWidth="1"/>
    <col min="6" max="6" width="11.21875" style="1" customWidth="1"/>
    <col min="7" max="7" width="9" style="157" customWidth="1"/>
    <col min="8" max="8" width="15.44140625" style="1" customWidth="1"/>
    <col min="9" max="9" width="13.6640625" style="1" customWidth="1"/>
    <col min="10" max="16384" width="9.109375" style="1"/>
  </cols>
  <sheetData>
    <row r="1" spans="1:9" x14ac:dyDescent="0.35">
      <c r="A1" s="150" t="s">
        <v>40</v>
      </c>
      <c r="B1" s="150"/>
      <c r="C1" s="150"/>
      <c r="D1" s="150"/>
      <c r="E1" s="150"/>
      <c r="F1" s="150"/>
      <c r="G1" s="150"/>
      <c r="H1" s="150"/>
      <c r="I1" s="150"/>
    </row>
    <row r="2" spans="1:9" x14ac:dyDescent="0.35">
      <c r="A2" s="150" t="s">
        <v>190</v>
      </c>
      <c r="B2" s="150"/>
      <c r="C2" s="150"/>
      <c r="D2" s="150"/>
      <c r="E2" s="150"/>
      <c r="F2" s="150"/>
      <c r="G2" s="150"/>
      <c r="H2" s="150"/>
      <c r="I2" s="150"/>
    </row>
    <row r="3" spans="1:9" x14ac:dyDescent="0.35">
      <c r="A3" s="48"/>
      <c r="B3" s="48" t="s">
        <v>248</v>
      </c>
      <c r="C3" s="48"/>
      <c r="D3" s="225"/>
      <c r="E3" s="48"/>
      <c r="F3" s="48"/>
      <c r="G3" s="225"/>
      <c r="H3" s="48"/>
      <c r="I3" s="48"/>
    </row>
    <row r="4" spans="1:9" x14ac:dyDescent="0.35">
      <c r="A4" s="151" t="s">
        <v>3</v>
      </c>
      <c r="B4" s="151" t="s">
        <v>41</v>
      </c>
      <c r="C4" s="151" t="s">
        <v>15</v>
      </c>
      <c r="D4" s="151" t="s">
        <v>29</v>
      </c>
      <c r="E4" s="151" t="s">
        <v>42</v>
      </c>
      <c r="F4" s="151" t="s">
        <v>43</v>
      </c>
      <c r="G4" s="151" t="s">
        <v>44</v>
      </c>
      <c r="H4" s="152" t="s">
        <v>45</v>
      </c>
      <c r="I4" s="152"/>
    </row>
    <row r="5" spans="1:9" x14ac:dyDescent="0.35">
      <c r="A5" s="151"/>
      <c r="B5" s="151"/>
      <c r="C5" s="151"/>
      <c r="D5" s="151"/>
      <c r="E5" s="151"/>
      <c r="F5" s="151"/>
      <c r="G5" s="151"/>
      <c r="H5" s="33" t="s">
        <v>7</v>
      </c>
      <c r="I5" s="33" t="s">
        <v>8</v>
      </c>
    </row>
    <row r="6" spans="1:9" x14ac:dyDescent="0.35">
      <c r="A6" s="14">
        <v>-1</v>
      </c>
      <c r="B6" s="14">
        <v>-2</v>
      </c>
      <c r="C6" s="14">
        <v>-3</v>
      </c>
      <c r="D6" s="14">
        <v>-4</v>
      </c>
      <c r="E6" s="14">
        <v>-5</v>
      </c>
      <c r="F6" s="14">
        <v>-6</v>
      </c>
      <c r="G6" s="14">
        <v>-7</v>
      </c>
      <c r="H6" s="5" t="s">
        <v>88</v>
      </c>
      <c r="I6" s="13" t="s">
        <v>89</v>
      </c>
    </row>
    <row r="7" spans="1:9" x14ac:dyDescent="0.35">
      <c r="A7" s="228" t="s">
        <v>161</v>
      </c>
      <c r="B7" s="29" t="s">
        <v>127</v>
      </c>
      <c r="C7" s="29"/>
      <c r="D7" s="29"/>
      <c r="E7" s="29"/>
      <c r="F7" s="29"/>
      <c r="G7" s="29"/>
      <c r="H7" s="30">
        <f>+SUM(H8:H19)</f>
        <v>344327.08333333331</v>
      </c>
      <c r="I7" s="30">
        <f>+SUM(I8:I19)</f>
        <v>4131925</v>
      </c>
    </row>
    <row r="8" spans="1:9" ht="26.4" x14ac:dyDescent="0.35">
      <c r="A8" s="52">
        <v>1</v>
      </c>
      <c r="B8" s="16" t="s">
        <v>114</v>
      </c>
      <c r="C8" s="17" t="s">
        <v>191</v>
      </c>
      <c r="D8" s="17">
        <v>1</v>
      </c>
      <c r="E8" s="34">
        <v>1651000</v>
      </c>
      <c r="F8" s="34">
        <f>+E8*D8</f>
        <v>1651000</v>
      </c>
      <c r="G8" s="226">
        <v>8</v>
      </c>
      <c r="H8" s="20">
        <f>+F8/G8/12</f>
        <v>17197.916666666668</v>
      </c>
      <c r="I8" s="20">
        <f>+F8/G8</f>
        <v>206375</v>
      </c>
    </row>
    <row r="9" spans="1:9" x14ac:dyDescent="0.35">
      <c r="A9" s="52">
        <v>2</v>
      </c>
      <c r="B9" s="19" t="s">
        <v>115</v>
      </c>
      <c r="C9" s="17" t="s">
        <v>191</v>
      </c>
      <c r="D9" s="17">
        <v>2</v>
      </c>
      <c r="E9" s="34">
        <v>499000</v>
      </c>
      <c r="F9" s="34">
        <f t="shared" ref="F9:F14" si="0">+E9*D9</f>
        <v>998000</v>
      </c>
      <c r="G9" s="226">
        <v>8</v>
      </c>
      <c r="H9" s="20">
        <f>+F9/G9/12</f>
        <v>10395.833333333334</v>
      </c>
      <c r="I9" s="20">
        <f t="shared" ref="I9:I19" si="1">+F9/G9</f>
        <v>124750</v>
      </c>
    </row>
    <row r="10" spans="1:9" x14ac:dyDescent="0.35">
      <c r="A10" s="52">
        <v>3</v>
      </c>
      <c r="B10" s="19" t="s">
        <v>116</v>
      </c>
      <c r="C10" s="17" t="s">
        <v>191</v>
      </c>
      <c r="D10" s="17">
        <v>1</v>
      </c>
      <c r="E10" s="34">
        <v>3100000</v>
      </c>
      <c r="F10" s="34">
        <f t="shared" si="0"/>
        <v>3100000</v>
      </c>
      <c r="G10" s="226">
        <v>5</v>
      </c>
      <c r="H10" s="20">
        <f t="shared" ref="H10:H19" si="2">+F10/G10/12</f>
        <v>51666.666666666664</v>
      </c>
      <c r="I10" s="20">
        <f t="shared" si="1"/>
        <v>620000</v>
      </c>
    </row>
    <row r="11" spans="1:9" x14ac:dyDescent="0.35">
      <c r="A11" s="52">
        <v>4</v>
      </c>
      <c r="B11" s="19" t="s">
        <v>117</v>
      </c>
      <c r="C11" s="17" t="s">
        <v>191</v>
      </c>
      <c r="D11" s="17">
        <v>1</v>
      </c>
      <c r="E11" s="34">
        <v>6399000</v>
      </c>
      <c r="F11" s="34">
        <f t="shared" si="0"/>
        <v>6399000</v>
      </c>
      <c r="G11" s="226">
        <v>5</v>
      </c>
      <c r="H11" s="20">
        <f t="shared" si="2"/>
        <v>106650</v>
      </c>
      <c r="I11" s="20">
        <f t="shared" si="1"/>
        <v>1279800</v>
      </c>
    </row>
    <row r="12" spans="1:9" x14ac:dyDescent="0.35">
      <c r="A12" s="52">
        <v>5</v>
      </c>
      <c r="B12" s="19" t="s">
        <v>118</v>
      </c>
      <c r="C12" s="17" t="s">
        <v>93</v>
      </c>
      <c r="D12" s="17">
        <v>1</v>
      </c>
      <c r="E12" s="34">
        <v>6800000</v>
      </c>
      <c r="F12" s="34">
        <f t="shared" si="0"/>
        <v>6800000</v>
      </c>
      <c r="G12" s="226">
        <v>5</v>
      </c>
      <c r="H12" s="20">
        <f t="shared" si="2"/>
        <v>113333.33333333333</v>
      </c>
      <c r="I12" s="20">
        <f t="shared" si="1"/>
        <v>1360000</v>
      </c>
    </row>
    <row r="13" spans="1:9" ht="26.4" x14ac:dyDescent="0.35">
      <c r="A13" s="52">
        <v>6</v>
      </c>
      <c r="B13" s="16" t="s">
        <v>95</v>
      </c>
      <c r="C13" s="17" t="s">
        <v>191</v>
      </c>
      <c r="D13" s="17">
        <v>0</v>
      </c>
      <c r="E13" s="34"/>
      <c r="F13" s="34">
        <f t="shared" si="0"/>
        <v>0</v>
      </c>
      <c r="G13" s="226">
        <v>8</v>
      </c>
      <c r="H13" s="20">
        <f t="shared" si="2"/>
        <v>0</v>
      </c>
      <c r="I13" s="20">
        <f t="shared" si="1"/>
        <v>0</v>
      </c>
    </row>
    <row r="14" spans="1:9" x14ac:dyDescent="0.35">
      <c r="A14" s="52">
        <v>7</v>
      </c>
      <c r="B14" s="19" t="s">
        <v>96</v>
      </c>
      <c r="C14" s="17" t="s">
        <v>191</v>
      </c>
      <c r="D14" s="17">
        <v>0</v>
      </c>
      <c r="E14" s="34"/>
      <c r="F14" s="34">
        <f t="shared" si="0"/>
        <v>0</v>
      </c>
      <c r="G14" s="226">
        <v>5</v>
      </c>
      <c r="H14" s="20">
        <f t="shared" si="2"/>
        <v>0</v>
      </c>
      <c r="I14" s="20">
        <f t="shared" si="1"/>
        <v>0</v>
      </c>
    </row>
    <row r="15" spans="1:9" x14ac:dyDescent="0.35">
      <c r="A15" s="52">
        <v>6</v>
      </c>
      <c r="B15" s="19" t="s">
        <v>97</v>
      </c>
      <c r="C15" s="17" t="s">
        <v>191</v>
      </c>
      <c r="D15" s="17">
        <v>1</v>
      </c>
      <c r="E15" s="34">
        <v>800000</v>
      </c>
      <c r="F15" s="34">
        <v>800000</v>
      </c>
      <c r="G15" s="226">
        <v>5</v>
      </c>
      <c r="H15" s="20">
        <f t="shared" si="2"/>
        <v>13333.333333333334</v>
      </c>
      <c r="I15" s="20">
        <f t="shared" si="1"/>
        <v>160000</v>
      </c>
    </row>
    <row r="16" spans="1:9" x14ac:dyDescent="0.35">
      <c r="A16" s="52">
        <v>7</v>
      </c>
      <c r="B16" s="19" t="s">
        <v>131</v>
      </c>
      <c r="C16" s="17" t="s">
        <v>191</v>
      </c>
      <c r="D16" s="17">
        <v>1</v>
      </c>
      <c r="E16" s="34">
        <v>450000</v>
      </c>
      <c r="F16" s="34">
        <f t="shared" ref="F16:F18" si="3">+E16*D16</f>
        <v>450000</v>
      </c>
      <c r="G16" s="226">
        <v>5</v>
      </c>
      <c r="H16" s="20">
        <f t="shared" si="2"/>
        <v>7500</v>
      </c>
      <c r="I16" s="20">
        <f t="shared" si="1"/>
        <v>90000</v>
      </c>
    </row>
    <row r="17" spans="1:11" x14ac:dyDescent="0.35">
      <c r="A17" s="52">
        <v>8</v>
      </c>
      <c r="B17" s="19" t="s">
        <v>132</v>
      </c>
      <c r="C17" s="17" t="s">
        <v>191</v>
      </c>
      <c r="D17" s="17">
        <v>1</v>
      </c>
      <c r="E17" s="34">
        <f>155000+250000</f>
        <v>405000</v>
      </c>
      <c r="F17" s="34">
        <f t="shared" si="3"/>
        <v>405000</v>
      </c>
      <c r="G17" s="226">
        <v>5</v>
      </c>
      <c r="H17" s="20">
        <f t="shared" si="2"/>
        <v>6750</v>
      </c>
      <c r="I17" s="20">
        <f t="shared" si="1"/>
        <v>81000</v>
      </c>
    </row>
    <row r="18" spans="1:11" x14ac:dyDescent="0.35">
      <c r="A18" s="52">
        <v>9</v>
      </c>
      <c r="B18" s="19" t="s">
        <v>101</v>
      </c>
      <c r="C18" s="17" t="s">
        <v>191</v>
      </c>
      <c r="D18" s="17">
        <v>1</v>
      </c>
      <c r="E18" s="34">
        <v>250000</v>
      </c>
      <c r="F18" s="34">
        <f t="shared" si="3"/>
        <v>250000</v>
      </c>
      <c r="G18" s="226">
        <v>5</v>
      </c>
      <c r="H18" s="20">
        <f t="shared" si="2"/>
        <v>4166.666666666667</v>
      </c>
      <c r="I18" s="20">
        <f t="shared" si="1"/>
        <v>50000</v>
      </c>
    </row>
    <row r="19" spans="1:11" x14ac:dyDescent="0.35">
      <c r="A19" s="52">
        <v>10</v>
      </c>
      <c r="B19" s="19" t="s">
        <v>134</v>
      </c>
      <c r="C19" s="17" t="s">
        <v>191</v>
      </c>
      <c r="D19" s="17">
        <v>1</v>
      </c>
      <c r="E19" s="34">
        <v>10000</v>
      </c>
      <c r="F19" s="34">
        <v>800000</v>
      </c>
      <c r="G19" s="226">
        <v>5</v>
      </c>
      <c r="H19" s="20">
        <f t="shared" si="2"/>
        <v>13333.333333333334</v>
      </c>
      <c r="I19" s="20">
        <f t="shared" si="1"/>
        <v>160000</v>
      </c>
    </row>
    <row r="20" spans="1:11" x14ac:dyDescent="0.35">
      <c r="A20" s="229" t="s">
        <v>133</v>
      </c>
      <c r="B20" s="26" t="s">
        <v>128</v>
      </c>
      <c r="C20" s="27"/>
      <c r="D20" s="27"/>
      <c r="E20" s="35"/>
      <c r="F20" s="35"/>
      <c r="G20" s="30"/>
      <c r="H20" s="36">
        <f>+SUM(H21:H26)</f>
        <v>79250.000000000015</v>
      </c>
      <c r="I20" s="36">
        <f>+SUM(I21:I26)</f>
        <v>951000</v>
      </c>
    </row>
    <row r="21" spans="1:11" ht="26.4" x14ac:dyDescent="0.35">
      <c r="A21" s="171">
        <v>1</v>
      </c>
      <c r="B21" s="16" t="s">
        <v>129</v>
      </c>
      <c r="C21" s="17" t="s">
        <v>191</v>
      </c>
      <c r="D21" s="17">
        <v>1</v>
      </c>
      <c r="E21" s="34">
        <f>+E8</f>
        <v>1651000</v>
      </c>
      <c r="F21" s="34">
        <f t="shared" ref="F21:F26" si="4">+E21*D21</f>
        <v>1651000</v>
      </c>
      <c r="G21" s="226">
        <v>5</v>
      </c>
      <c r="H21" s="20">
        <f t="shared" ref="H21:H26" si="5">+F21/G21/12</f>
        <v>27516.666666666668</v>
      </c>
      <c r="I21" s="20">
        <f t="shared" ref="I21:I26" si="6">+F21/G21</f>
        <v>330200</v>
      </c>
    </row>
    <row r="22" spans="1:11" ht="26.4" x14ac:dyDescent="0.35">
      <c r="A22" s="171">
        <v>2</v>
      </c>
      <c r="B22" s="16" t="s">
        <v>115</v>
      </c>
      <c r="C22" s="17" t="s">
        <v>191</v>
      </c>
      <c r="D22" s="17">
        <v>1</v>
      </c>
      <c r="E22" s="34">
        <f>+E9</f>
        <v>499000</v>
      </c>
      <c r="F22" s="34">
        <f t="shared" si="4"/>
        <v>499000</v>
      </c>
      <c r="G22" s="226">
        <v>5</v>
      </c>
      <c r="H22" s="20">
        <f t="shared" si="5"/>
        <v>8316.6666666666661</v>
      </c>
      <c r="I22" s="20">
        <f t="shared" si="6"/>
        <v>99800</v>
      </c>
    </row>
    <row r="23" spans="1:11" x14ac:dyDescent="0.35">
      <c r="A23" s="171">
        <v>3</v>
      </c>
      <c r="B23" s="19" t="s">
        <v>130</v>
      </c>
      <c r="C23" s="17" t="s">
        <v>191</v>
      </c>
      <c r="D23" s="17">
        <v>1</v>
      </c>
      <c r="E23" s="34">
        <v>1500000</v>
      </c>
      <c r="F23" s="34">
        <f t="shared" si="4"/>
        <v>1500000</v>
      </c>
      <c r="G23" s="226">
        <v>5</v>
      </c>
      <c r="H23" s="20">
        <f t="shared" si="5"/>
        <v>25000</v>
      </c>
      <c r="I23" s="20">
        <f t="shared" si="6"/>
        <v>300000</v>
      </c>
    </row>
    <row r="24" spans="1:11" x14ac:dyDescent="0.35">
      <c r="A24" s="171">
        <v>4</v>
      </c>
      <c r="B24" s="19" t="s">
        <v>131</v>
      </c>
      <c r="C24" s="17" t="s">
        <v>191</v>
      </c>
      <c r="D24" s="17">
        <v>1</v>
      </c>
      <c r="E24" s="34">
        <v>450000</v>
      </c>
      <c r="F24" s="34">
        <f t="shared" si="4"/>
        <v>450000</v>
      </c>
      <c r="G24" s="226">
        <v>5</v>
      </c>
      <c r="H24" s="20">
        <f t="shared" si="5"/>
        <v>7500</v>
      </c>
      <c r="I24" s="20">
        <f t="shared" si="6"/>
        <v>90000</v>
      </c>
    </row>
    <row r="25" spans="1:11" x14ac:dyDescent="0.35">
      <c r="A25" s="171">
        <v>5</v>
      </c>
      <c r="B25" s="19" t="s">
        <v>132</v>
      </c>
      <c r="C25" s="17" t="s">
        <v>93</v>
      </c>
      <c r="D25" s="17">
        <v>1</v>
      </c>
      <c r="E25" s="34">
        <f>155000+250000</f>
        <v>405000</v>
      </c>
      <c r="F25" s="34">
        <f t="shared" si="4"/>
        <v>405000</v>
      </c>
      <c r="G25" s="226">
        <v>5</v>
      </c>
      <c r="H25" s="20">
        <f t="shared" si="5"/>
        <v>6750</v>
      </c>
      <c r="I25" s="20">
        <f t="shared" si="6"/>
        <v>81000</v>
      </c>
    </row>
    <row r="26" spans="1:11" x14ac:dyDescent="0.35">
      <c r="A26" s="171">
        <v>6</v>
      </c>
      <c r="B26" s="19" t="s">
        <v>101</v>
      </c>
      <c r="C26" s="17" t="s">
        <v>191</v>
      </c>
      <c r="D26" s="17">
        <v>1</v>
      </c>
      <c r="E26" s="34">
        <v>250000</v>
      </c>
      <c r="F26" s="34">
        <f t="shared" si="4"/>
        <v>250000</v>
      </c>
      <c r="G26" s="226">
        <v>5</v>
      </c>
      <c r="H26" s="20">
        <f t="shared" si="5"/>
        <v>4166.666666666667</v>
      </c>
      <c r="I26" s="20">
        <f t="shared" si="6"/>
        <v>50000</v>
      </c>
    </row>
    <row r="27" spans="1:11" x14ac:dyDescent="0.35">
      <c r="B27" s="24" t="s">
        <v>250</v>
      </c>
      <c r="H27" s="8"/>
    </row>
    <row r="28" spans="1:11" ht="18.75" customHeight="1" x14ac:dyDescent="0.35">
      <c r="A28" s="151" t="s">
        <v>3</v>
      </c>
      <c r="B28" s="151" t="s">
        <v>41</v>
      </c>
      <c r="C28" s="151" t="s">
        <v>15</v>
      </c>
      <c r="D28" s="151" t="s">
        <v>29</v>
      </c>
      <c r="E28" s="151" t="s">
        <v>42</v>
      </c>
      <c r="F28" s="151" t="s">
        <v>43</v>
      </c>
      <c r="G28" s="151" t="s">
        <v>44</v>
      </c>
      <c r="H28" s="152" t="s">
        <v>45</v>
      </c>
      <c r="I28" s="152"/>
    </row>
    <row r="29" spans="1:11" x14ac:dyDescent="0.35">
      <c r="A29" s="151"/>
      <c r="B29" s="151"/>
      <c r="C29" s="151"/>
      <c r="D29" s="151"/>
      <c r="E29" s="151"/>
      <c r="F29" s="151"/>
      <c r="G29" s="151"/>
      <c r="H29" s="33" t="s">
        <v>7</v>
      </c>
      <c r="I29" s="33" t="s">
        <v>8</v>
      </c>
    </row>
    <row r="30" spans="1:11" x14ac:dyDescent="0.35">
      <c r="A30" s="14">
        <v>-1</v>
      </c>
      <c r="B30" s="14">
        <v>-2</v>
      </c>
      <c r="C30" s="14">
        <v>-3</v>
      </c>
      <c r="D30" s="14">
        <v>-4</v>
      </c>
      <c r="E30" s="14">
        <v>-5</v>
      </c>
      <c r="F30" s="14">
        <v>-6</v>
      </c>
      <c r="G30" s="14">
        <v>-7</v>
      </c>
      <c r="H30" s="5" t="s">
        <v>88</v>
      </c>
      <c r="I30" s="13" t="s">
        <v>89</v>
      </c>
    </row>
    <row r="31" spans="1:11" s="24" customFormat="1" ht="17.399999999999999" x14ac:dyDescent="0.3">
      <c r="A31" s="228" t="s">
        <v>161</v>
      </c>
      <c r="B31" s="29" t="s">
        <v>127</v>
      </c>
      <c r="C31" s="29"/>
      <c r="D31" s="29"/>
      <c r="E31" s="29"/>
      <c r="F31" s="29"/>
      <c r="G31" s="29"/>
      <c r="H31" s="30">
        <f>+SUM(H32:H43)</f>
        <v>602900.00000000012</v>
      </c>
      <c r="I31" s="30">
        <f>+SUM(I32:I43)</f>
        <v>7234800</v>
      </c>
    </row>
    <row r="32" spans="1:11" ht="26.4" x14ac:dyDescent="0.35">
      <c r="A32" s="52">
        <v>1</v>
      </c>
      <c r="B32" s="16" t="s">
        <v>114</v>
      </c>
      <c r="C32" s="17" t="s">
        <v>191</v>
      </c>
      <c r="D32" s="17">
        <v>4</v>
      </c>
      <c r="E32" s="34">
        <v>1651000</v>
      </c>
      <c r="F32" s="34">
        <f>+E32*D32</f>
        <v>6604000</v>
      </c>
      <c r="G32" s="226">
        <v>8</v>
      </c>
      <c r="H32" s="20">
        <f>+F32/G32/12</f>
        <v>68791.666666666672</v>
      </c>
      <c r="I32" s="20">
        <f>+F32/G32</f>
        <v>825500</v>
      </c>
      <c r="K32" s="18" t="s">
        <v>90</v>
      </c>
    </row>
    <row r="33" spans="1:11" x14ac:dyDescent="0.35">
      <c r="A33" s="52">
        <v>2</v>
      </c>
      <c r="B33" s="19" t="s">
        <v>115</v>
      </c>
      <c r="C33" s="17" t="s">
        <v>191</v>
      </c>
      <c r="D33" s="17">
        <v>12</v>
      </c>
      <c r="E33" s="34">
        <v>499000</v>
      </c>
      <c r="F33" s="34">
        <f t="shared" ref="F33:F38" si="7">+E33*D33</f>
        <v>5988000</v>
      </c>
      <c r="G33" s="226">
        <v>8</v>
      </c>
      <c r="H33" s="20">
        <f>+F33/G33/12</f>
        <v>62375</v>
      </c>
      <c r="I33" s="20">
        <f t="shared" ref="I33:I42" si="8">+F33/G33</f>
        <v>748500</v>
      </c>
      <c r="K33" s="18" t="s">
        <v>90</v>
      </c>
    </row>
    <row r="34" spans="1:11" x14ac:dyDescent="0.35">
      <c r="A34" s="52">
        <v>3</v>
      </c>
      <c r="B34" s="19" t="s">
        <v>116</v>
      </c>
      <c r="C34" s="17" t="s">
        <v>191</v>
      </c>
      <c r="D34" s="17">
        <v>4</v>
      </c>
      <c r="E34" s="34">
        <v>3100000</v>
      </c>
      <c r="F34" s="34">
        <f t="shared" si="7"/>
        <v>12400000</v>
      </c>
      <c r="G34" s="226">
        <v>5</v>
      </c>
      <c r="H34" s="20">
        <f t="shared" ref="H34:H42" si="9">+F34/G34/12</f>
        <v>206666.66666666666</v>
      </c>
      <c r="I34" s="20">
        <f t="shared" si="8"/>
        <v>2480000</v>
      </c>
      <c r="K34" s="18" t="s">
        <v>91</v>
      </c>
    </row>
    <row r="35" spans="1:11" x14ac:dyDescent="0.35">
      <c r="A35" s="52">
        <v>4</v>
      </c>
      <c r="B35" s="19" t="s">
        <v>117</v>
      </c>
      <c r="C35" s="17" t="s">
        <v>191</v>
      </c>
      <c r="D35" s="17">
        <v>1</v>
      </c>
      <c r="E35" s="34">
        <v>6399000</v>
      </c>
      <c r="F35" s="34">
        <f t="shared" si="7"/>
        <v>6399000</v>
      </c>
      <c r="G35" s="226">
        <v>5</v>
      </c>
      <c r="H35" s="20">
        <f t="shared" si="9"/>
        <v>106650</v>
      </c>
      <c r="I35" s="20">
        <f t="shared" si="8"/>
        <v>1279800</v>
      </c>
      <c r="K35" s="18" t="s">
        <v>92</v>
      </c>
    </row>
    <row r="36" spans="1:11" x14ac:dyDescent="0.35">
      <c r="A36" s="52">
        <v>5</v>
      </c>
      <c r="B36" s="19" t="s">
        <v>118</v>
      </c>
      <c r="C36" s="17" t="s">
        <v>93</v>
      </c>
      <c r="D36" s="17">
        <v>1</v>
      </c>
      <c r="E36" s="34">
        <v>6800000</v>
      </c>
      <c r="F36" s="34">
        <f t="shared" si="7"/>
        <v>6800000</v>
      </c>
      <c r="G36" s="226">
        <v>5</v>
      </c>
      <c r="H36" s="20">
        <f t="shared" si="9"/>
        <v>113333.33333333333</v>
      </c>
      <c r="I36" s="20">
        <f t="shared" si="8"/>
        <v>1360000</v>
      </c>
      <c r="K36" s="18" t="s">
        <v>94</v>
      </c>
    </row>
    <row r="37" spans="1:11" ht="26.4" hidden="1" x14ac:dyDescent="0.35">
      <c r="A37" s="52">
        <v>6</v>
      </c>
      <c r="B37" s="16" t="s">
        <v>95</v>
      </c>
      <c r="C37" s="17" t="s">
        <v>191</v>
      </c>
      <c r="D37" s="17">
        <v>0</v>
      </c>
      <c r="E37" s="34"/>
      <c r="F37" s="34">
        <f t="shared" si="7"/>
        <v>0</v>
      </c>
      <c r="G37" s="226">
        <v>8</v>
      </c>
      <c r="H37" s="20">
        <f t="shared" si="9"/>
        <v>0</v>
      </c>
      <c r="I37" s="20">
        <f t="shared" si="8"/>
        <v>0</v>
      </c>
    </row>
    <row r="38" spans="1:11" hidden="1" x14ac:dyDescent="0.35">
      <c r="A38" s="52">
        <v>7</v>
      </c>
      <c r="B38" s="19" t="s">
        <v>96</v>
      </c>
      <c r="C38" s="17" t="s">
        <v>191</v>
      </c>
      <c r="D38" s="17">
        <v>0</v>
      </c>
      <c r="E38" s="34"/>
      <c r="F38" s="34">
        <f t="shared" si="7"/>
        <v>0</v>
      </c>
      <c r="G38" s="226">
        <v>5</v>
      </c>
      <c r="H38" s="20">
        <f t="shared" si="9"/>
        <v>0</v>
      </c>
      <c r="I38" s="20">
        <f t="shared" si="8"/>
        <v>0</v>
      </c>
    </row>
    <row r="39" spans="1:11" x14ac:dyDescent="0.35">
      <c r="A39" s="52">
        <v>6</v>
      </c>
      <c r="B39" s="19" t="s">
        <v>97</v>
      </c>
      <c r="C39" s="17" t="s">
        <v>191</v>
      </c>
      <c r="D39" s="17">
        <v>1</v>
      </c>
      <c r="E39" s="34">
        <v>800000</v>
      </c>
      <c r="F39" s="34">
        <v>800000</v>
      </c>
      <c r="G39" s="226">
        <v>5</v>
      </c>
      <c r="H39" s="20">
        <f t="shared" si="9"/>
        <v>13333.333333333334</v>
      </c>
      <c r="I39" s="20">
        <f t="shared" si="8"/>
        <v>160000</v>
      </c>
      <c r="K39" s="40" t="s">
        <v>208</v>
      </c>
    </row>
    <row r="40" spans="1:11" x14ac:dyDescent="0.35">
      <c r="A40" s="52">
        <v>7</v>
      </c>
      <c r="B40" s="19" t="s">
        <v>131</v>
      </c>
      <c r="C40" s="17" t="s">
        <v>191</v>
      </c>
      <c r="D40" s="17">
        <v>1</v>
      </c>
      <c r="E40" s="34">
        <v>450000</v>
      </c>
      <c r="F40" s="34">
        <f t="shared" ref="F40:F42" si="10">+E40*D40</f>
        <v>450000</v>
      </c>
      <c r="G40" s="226">
        <v>5</v>
      </c>
      <c r="H40" s="20">
        <f t="shared" si="9"/>
        <v>7500</v>
      </c>
      <c r="I40" s="20">
        <f t="shared" si="8"/>
        <v>90000</v>
      </c>
    </row>
    <row r="41" spans="1:11" x14ac:dyDescent="0.35">
      <c r="A41" s="52">
        <v>8</v>
      </c>
      <c r="B41" s="19" t="s">
        <v>132</v>
      </c>
      <c r="C41" s="17" t="s">
        <v>191</v>
      </c>
      <c r="D41" s="17">
        <v>1</v>
      </c>
      <c r="E41" s="34">
        <f>155000+250000</f>
        <v>405000</v>
      </c>
      <c r="F41" s="34">
        <f t="shared" si="10"/>
        <v>405000</v>
      </c>
      <c r="G41" s="226">
        <v>5</v>
      </c>
      <c r="H41" s="20">
        <f t="shared" si="9"/>
        <v>6750</v>
      </c>
      <c r="I41" s="20">
        <f t="shared" si="8"/>
        <v>81000</v>
      </c>
    </row>
    <row r="42" spans="1:11" x14ac:dyDescent="0.35">
      <c r="A42" s="52">
        <v>9</v>
      </c>
      <c r="B42" s="19" t="s">
        <v>101</v>
      </c>
      <c r="C42" s="17" t="s">
        <v>191</v>
      </c>
      <c r="D42" s="17">
        <v>1</v>
      </c>
      <c r="E42" s="34">
        <v>250000</v>
      </c>
      <c r="F42" s="34">
        <f t="shared" si="10"/>
        <v>250000</v>
      </c>
      <c r="G42" s="226">
        <v>5</v>
      </c>
      <c r="H42" s="20">
        <f t="shared" si="9"/>
        <v>4166.666666666667</v>
      </c>
      <c r="I42" s="20">
        <f t="shared" si="8"/>
        <v>50000</v>
      </c>
    </row>
    <row r="43" spans="1:11" x14ac:dyDescent="0.35">
      <c r="A43" s="52">
        <v>10</v>
      </c>
      <c r="B43" s="19" t="s">
        <v>134</v>
      </c>
      <c r="C43" s="17" t="s">
        <v>191</v>
      </c>
      <c r="D43" s="17">
        <v>1</v>
      </c>
      <c r="E43" s="34">
        <v>10000</v>
      </c>
      <c r="F43" s="34">
        <v>800000</v>
      </c>
      <c r="G43" s="226">
        <v>5</v>
      </c>
      <c r="H43" s="20">
        <f t="shared" ref="H43" si="11">+F43/G43/12</f>
        <v>13333.333333333334</v>
      </c>
      <c r="I43" s="20">
        <f t="shared" ref="I43" si="12">+F43/G43</f>
        <v>160000</v>
      </c>
    </row>
    <row r="44" spans="1:11" s="24" customFormat="1" ht="17.399999999999999" x14ac:dyDescent="0.3">
      <c r="A44" s="229" t="s">
        <v>133</v>
      </c>
      <c r="B44" s="26" t="s">
        <v>128</v>
      </c>
      <c r="C44" s="27"/>
      <c r="D44" s="27"/>
      <c r="E44" s="35"/>
      <c r="F44" s="35"/>
      <c r="G44" s="30"/>
      <c r="H44" s="36">
        <f>+SUM(H45:H50)</f>
        <v>79250.000000000015</v>
      </c>
      <c r="I44" s="36">
        <f>+SUM(I45:I50)</f>
        <v>951000</v>
      </c>
    </row>
    <row r="45" spans="1:11" ht="26.4" x14ac:dyDescent="0.35">
      <c r="A45" s="171">
        <v>1</v>
      </c>
      <c r="B45" s="16" t="s">
        <v>129</v>
      </c>
      <c r="C45" s="17" t="s">
        <v>191</v>
      </c>
      <c r="D45" s="17">
        <v>1</v>
      </c>
      <c r="E45" s="34">
        <f>+E32</f>
        <v>1651000</v>
      </c>
      <c r="F45" s="34">
        <f t="shared" ref="F45:F49" si="13">+E45*D45</f>
        <v>1651000</v>
      </c>
      <c r="G45" s="226">
        <v>5</v>
      </c>
      <c r="H45" s="20">
        <f t="shared" ref="H45:H49" si="14">+F45/G45/12</f>
        <v>27516.666666666668</v>
      </c>
      <c r="I45" s="20">
        <f t="shared" ref="I45:I49" si="15">+F45/G45</f>
        <v>330200</v>
      </c>
    </row>
    <row r="46" spans="1:11" ht="26.4" x14ac:dyDescent="0.35">
      <c r="A46" s="171">
        <v>2</v>
      </c>
      <c r="B46" s="16" t="s">
        <v>115</v>
      </c>
      <c r="C46" s="17" t="s">
        <v>191</v>
      </c>
      <c r="D46" s="17">
        <v>1</v>
      </c>
      <c r="E46" s="34">
        <f>+E33</f>
        <v>499000</v>
      </c>
      <c r="F46" s="34">
        <f t="shared" si="13"/>
        <v>499000</v>
      </c>
      <c r="G46" s="226">
        <v>5</v>
      </c>
      <c r="H46" s="20">
        <f t="shared" si="14"/>
        <v>8316.6666666666661</v>
      </c>
      <c r="I46" s="20">
        <f t="shared" si="15"/>
        <v>99800</v>
      </c>
    </row>
    <row r="47" spans="1:11" x14ac:dyDescent="0.35">
      <c r="A47" s="171">
        <v>3</v>
      </c>
      <c r="B47" s="19" t="s">
        <v>130</v>
      </c>
      <c r="C47" s="17" t="s">
        <v>191</v>
      </c>
      <c r="D47" s="17">
        <v>1</v>
      </c>
      <c r="E47" s="34">
        <v>1500000</v>
      </c>
      <c r="F47" s="34">
        <f t="shared" si="13"/>
        <v>1500000</v>
      </c>
      <c r="G47" s="226">
        <v>5</v>
      </c>
      <c r="H47" s="20">
        <f t="shared" si="14"/>
        <v>25000</v>
      </c>
      <c r="I47" s="20">
        <f t="shared" si="15"/>
        <v>300000</v>
      </c>
    </row>
    <row r="48" spans="1:11" x14ac:dyDescent="0.35">
      <c r="A48" s="171">
        <v>4</v>
      </c>
      <c r="B48" s="19" t="s">
        <v>131</v>
      </c>
      <c r="C48" s="17" t="s">
        <v>191</v>
      </c>
      <c r="D48" s="17">
        <v>1</v>
      </c>
      <c r="E48" s="34">
        <v>450000</v>
      </c>
      <c r="F48" s="34">
        <f t="shared" si="13"/>
        <v>450000</v>
      </c>
      <c r="G48" s="226">
        <v>5</v>
      </c>
      <c r="H48" s="20">
        <f t="shared" si="14"/>
        <v>7500</v>
      </c>
      <c r="I48" s="20">
        <f t="shared" si="15"/>
        <v>90000</v>
      </c>
    </row>
    <row r="49" spans="1:9" x14ac:dyDescent="0.35">
      <c r="A49" s="171">
        <v>5</v>
      </c>
      <c r="B49" s="19" t="s">
        <v>132</v>
      </c>
      <c r="C49" s="17" t="s">
        <v>93</v>
      </c>
      <c r="D49" s="17">
        <v>1</v>
      </c>
      <c r="E49" s="34">
        <f>155000+250000</f>
        <v>405000</v>
      </c>
      <c r="F49" s="34">
        <f t="shared" si="13"/>
        <v>405000</v>
      </c>
      <c r="G49" s="226">
        <v>5</v>
      </c>
      <c r="H49" s="20">
        <f t="shared" si="14"/>
        <v>6750</v>
      </c>
      <c r="I49" s="20">
        <f t="shared" si="15"/>
        <v>81000</v>
      </c>
    </row>
    <row r="50" spans="1:9" x14ac:dyDescent="0.35">
      <c r="A50" s="171">
        <v>6</v>
      </c>
      <c r="B50" s="19" t="s">
        <v>101</v>
      </c>
      <c r="C50" s="17" t="s">
        <v>191</v>
      </c>
      <c r="D50" s="17">
        <v>1</v>
      </c>
      <c r="E50" s="34">
        <v>250000</v>
      </c>
      <c r="F50" s="34">
        <f t="shared" ref="F50" si="16">+E50*D50</f>
        <v>250000</v>
      </c>
      <c r="G50" s="226">
        <v>5</v>
      </c>
      <c r="H50" s="20">
        <f t="shared" ref="H50" si="17">+F50/G50/12</f>
        <v>4166.666666666667</v>
      </c>
      <c r="I50" s="20">
        <f t="shared" ref="I50" si="18">+F50/G50</f>
        <v>50000</v>
      </c>
    </row>
    <row r="51" spans="1:9" x14ac:dyDescent="0.35">
      <c r="B51" s="21"/>
      <c r="C51" s="22"/>
      <c r="D51" s="22"/>
      <c r="E51" s="23"/>
      <c r="F51" s="23"/>
      <c r="G51" s="227"/>
      <c r="H51" s="15"/>
      <c r="I51" s="15"/>
    </row>
    <row r="52" spans="1:9" ht="18.600000000000001" thickBot="1" x14ac:dyDescent="0.4"/>
    <row r="53" spans="1:9" ht="18.600000000000001" thickBot="1" x14ac:dyDescent="0.4">
      <c r="B53" s="43" t="s">
        <v>63</v>
      </c>
      <c r="C53" s="44">
        <v>5</v>
      </c>
      <c r="D53" s="44">
        <v>20</v>
      </c>
    </row>
    <row r="54" spans="1:9" ht="27" thickBot="1" x14ac:dyDescent="0.4">
      <c r="B54" s="45" t="s">
        <v>64</v>
      </c>
      <c r="C54" s="46">
        <v>5</v>
      </c>
      <c r="D54" s="46">
        <v>20</v>
      </c>
    </row>
    <row r="55" spans="1:9" ht="18.600000000000001" thickBot="1" x14ac:dyDescent="0.4">
      <c r="B55" s="45" t="s">
        <v>65</v>
      </c>
      <c r="C55" s="46">
        <v>5</v>
      </c>
      <c r="D55" s="46">
        <v>20</v>
      </c>
    </row>
    <row r="56" spans="1:9" ht="18.600000000000001" thickBot="1" x14ac:dyDescent="0.4">
      <c r="B56" s="45" t="s">
        <v>66</v>
      </c>
      <c r="C56" s="46">
        <v>5</v>
      </c>
      <c r="D56" s="46">
        <v>20</v>
      </c>
    </row>
    <row r="57" spans="1:9" ht="18.600000000000001" thickBot="1" x14ac:dyDescent="0.4">
      <c r="B57" s="45" t="s">
        <v>67</v>
      </c>
      <c r="C57" s="46">
        <v>5</v>
      </c>
      <c r="D57" s="46">
        <v>20</v>
      </c>
    </row>
    <row r="58" spans="1:9" ht="18.600000000000001" thickBot="1" x14ac:dyDescent="0.4">
      <c r="B58" s="45" t="s">
        <v>68</v>
      </c>
      <c r="C58" s="46">
        <v>5</v>
      </c>
      <c r="D58" s="46">
        <v>20</v>
      </c>
    </row>
    <row r="59" spans="1:9" ht="18.600000000000001" thickBot="1" x14ac:dyDescent="0.4">
      <c r="B59" s="45" t="s">
        <v>69</v>
      </c>
      <c r="C59" s="46">
        <v>5</v>
      </c>
      <c r="D59" s="46">
        <v>20</v>
      </c>
    </row>
    <row r="60" spans="1:9" ht="18.600000000000001" thickBot="1" x14ac:dyDescent="0.4">
      <c r="B60" s="45" t="s">
        <v>70</v>
      </c>
      <c r="C60" s="46">
        <v>5</v>
      </c>
      <c r="D60" s="46">
        <v>20</v>
      </c>
    </row>
    <row r="61" spans="1:9" ht="27" thickBot="1" x14ac:dyDescent="0.4">
      <c r="B61" s="45" t="s">
        <v>71</v>
      </c>
      <c r="C61" s="46">
        <v>8</v>
      </c>
      <c r="D61" s="46">
        <v>12.5</v>
      </c>
    </row>
    <row r="62" spans="1:9" ht="18.600000000000001" thickBot="1" x14ac:dyDescent="0.4">
      <c r="B62" s="45" t="s">
        <v>72</v>
      </c>
      <c r="C62" s="46">
        <v>8</v>
      </c>
      <c r="D62" s="46">
        <v>12.5</v>
      </c>
    </row>
    <row r="63" spans="1:9" ht="18.600000000000001" thickBot="1" x14ac:dyDescent="0.4">
      <c r="B63" s="45" t="s">
        <v>73</v>
      </c>
      <c r="C63" s="46">
        <v>8</v>
      </c>
      <c r="D63" s="46">
        <v>12.5</v>
      </c>
    </row>
    <row r="64" spans="1:9" ht="18.600000000000001" thickBot="1" x14ac:dyDescent="0.4">
      <c r="B64" s="45" t="s">
        <v>74</v>
      </c>
      <c r="C64" s="46">
        <v>8</v>
      </c>
      <c r="D64" s="46">
        <v>12.5</v>
      </c>
    </row>
    <row r="65" spans="2:4" ht="18.600000000000001" thickBot="1" x14ac:dyDescent="0.4">
      <c r="B65" s="45" t="s">
        <v>75</v>
      </c>
      <c r="C65" s="46">
        <v>5</v>
      </c>
      <c r="D65" s="46">
        <v>20</v>
      </c>
    </row>
    <row r="66" spans="2:4" ht="18.600000000000001" thickBot="1" x14ac:dyDescent="0.4">
      <c r="B66" s="45" t="s">
        <v>76</v>
      </c>
      <c r="C66" s="46">
        <v>5</v>
      </c>
      <c r="D66" s="46">
        <v>20</v>
      </c>
    </row>
    <row r="67" spans="2:4" ht="27" thickBot="1" x14ac:dyDescent="0.4">
      <c r="B67" s="45" t="s">
        <v>77</v>
      </c>
      <c r="C67" s="46" t="s">
        <v>78</v>
      </c>
      <c r="D67" s="46">
        <v>20</v>
      </c>
    </row>
    <row r="68" spans="2:4" ht="18.600000000000001" thickBot="1" x14ac:dyDescent="0.4"/>
    <row r="69" spans="2:4" ht="18.600000000000001" thickBot="1" x14ac:dyDescent="0.4">
      <c r="B69" s="43" t="s">
        <v>79</v>
      </c>
      <c r="C69" s="44" t="s">
        <v>78</v>
      </c>
      <c r="D69" s="44">
        <v>20</v>
      </c>
    </row>
    <row r="70" spans="2:4" ht="18.600000000000001" thickBot="1" x14ac:dyDescent="0.4">
      <c r="B70" s="45" t="s">
        <v>80</v>
      </c>
      <c r="C70" s="46">
        <v>5</v>
      </c>
      <c r="D70" s="46">
        <v>20</v>
      </c>
    </row>
    <row r="71" spans="2:4" ht="27" thickBot="1" x14ac:dyDescent="0.4">
      <c r="B71" s="45" t="s">
        <v>81</v>
      </c>
      <c r="C71" s="46" t="s">
        <v>78</v>
      </c>
      <c r="D71" s="46">
        <v>20</v>
      </c>
    </row>
    <row r="72" spans="2:4" ht="18.600000000000001" thickBot="1" x14ac:dyDescent="0.4">
      <c r="B72" s="45" t="s">
        <v>82</v>
      </c>
      <c r="C72" s="46">
        <v>5</v>
      </c>
      <c r="D72" s="46">
        <v>20</v>
      </c>
    </row>
    <row r="73" spans="2:4" ht="18.600000000000001" thickBot="1" x14ac:dyDescent="0.4">
      <c r="B73" s="45" t="s">
        <v>83</v>
      </c>
      <c r="C73" s="46">
        <v>5</v>
      </c>
      <c r="D73" s="46">
        <v>20</v>
      </c>
    </row>
    <row r="74" spans="2:4" ht="18.600000000000001" thickBot="1" x14ac:dyDescent="0.4">
      <c r="B74" s="45" t="s">
        <v>84</v>
      </c>
      <c r="C74" s="46">
        <v>8</v>
      </c>
      <c r="D74" s="46">
        <v>12.5</v>
      </c>
    </row>
    <row r="75" spans="2:4" ht="18.600000000000001" thickBot="1" x14ac:dyDescent="0.4">
      <c r="B75" s="45" t="s">
        <v>85</v>
      </c>
      <c r="C75" s="46">
        <v>8</v>
      </c>
      <c r="D75" s="46">
        <v>12.5</v>
      </c>
    </row>
    <row r="76" spans="2:4" ht="18.600000000000001" thickBot="1" x14ac:dyDescent="0.4">
      <c r="B76" s="45" t="s">
        <v>86</v>
      </c>
      <c r="C76" s="46">
        <v>8</v>
      </c>
      <c r="D76" s="46">
        <v>12.5</v>
      </c>
    </row>
    <row r="77" spans="2:4" ht="18.600000000000001" thickBot="1" x14ac:dyDescent="0.4">
      <c r="B77" s="45" t="s">
        <v>87</v>
      </c>
      <c r="C77" s="46">
        <v>8</v>
      </c>
      <c r="D77" s="46">
        <v>12.5</v>
      </c>
    </row>
  </sheetData>
  <mergeCells count="18">
    <mergeCell ref="F4:F5"/>
    <mergeCell ref="G4:G5"/>
    <mergeCell ref="H4:I4"/>
    <mergeCell ref="G28:G29"/>
    <mergeCell ref="H28:I28"/>
    <mergeCell ref="C28:C29"/>
    <mergeCell ref="A1:I1"/>
    <mergeCell ref="A2:I2"/>
    <mergeCell ref="A28:A29"/>
    <mergeCell ref="B28:B29"/>
    <mergeCell ref="D28:D29"/>
    <mergeCell ref="E28:E29"/>
    <mergeCell ref="F28:F29"/>
    <mergeCell ref="A4:A5"/>
    <mergeCell ref="B4:B5"/>
    <mergeCell ref="C4:C5"/>
    <mergeCell ref="D4:D5"/>
    <mergeCell ref="E4:E5"/>
  </mergeCells>
  <pageMargins left="1.36"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6"/>
  <sheetViews>
    <sheetView zoomScaleNormal="100" workbookViewId="0">
      <selection activeCell="J11" sqref="J11"/>
    </sheetView>
  </sheetViews>
  <sheetFormatPr defaultColWidth="9.109375" defaultRowHeight="18" x14ac:dyDescent="0.35"/>
  <cols>
    <col min="1" max="1" width="5.109375" style="157" bestFit="1" customWidth="1"/>
    <col min="2" max="2" width="35.44140625" style="1" customWidth="1"/>
    <col min="3" max="3" width="9" style="157" customWidth="1"/>
    <col min="4" max="4" width="8.5546875" style="157" customWidth="1"/>
    <col min="5" max="5" width="15.5546875" style="1" customWidth="1"/>
    <col min="6" max="6" width="22.21875" style="1" customWidth="1"/>
    <col min="7" max="7" width="21.44140625" style="1" customWidth="1"/>
    <col min="8" max="16384" width="9.109375" style="1"/>
  </cols>
  <sheetData>
    <row r="1" spans="1:7" x14ac:dyDescent="0.35">
      <c r="A1" s="143" t="s">
        <v>46</v>
      </c>
      <c r="B1" s="143"/>
      <c r="C1" s="143"/>
      <c r="D1" s="143"/>
      <c r="E1" s="143"/>
      <c r="F1" s="143"/>
      <c r="G1" s="143"/>
    </row>
    <row r="2" spans="1:7" x14ac:dyDescent="0.35">
      <c r="A2" s="143" t="s">
        <v>192</v>
      </c>
      <c r="B2" s="143"/>
      <c r="C2" s="143"/>
      <c r="D2" s="143"/>
      <c r="E2" s="143"/>
      <c r="F2" s="143"/>
      <c r="G2" s="143"/>
    </row>
    <row r="3" spans="1:7" x14ac:dyDescent="0.35">
      <c r="B3" s="1" t="s">
        <v>248</v>
      </c>
      <c r="F3" s="230"/>
    </row>
    <row r="4" spans="1:7" ht="18.75" customHeight="1" x14ac:dyDescent="0.35">
      <c r="A4" s="231" t="s">
        <v>3</v>
      </c>
      <c r="B4" s="231" t="s">
        <v>47</v>
      </c>
      <c r="C4" s="231" t="s">
        <v>15</v>
      </c>
      <c r="D4" s="231" t="s">
        <v>29</v>
      </c>
      <c r="E4" s="231" t="s">
        <v>42</v>
      </c>
      <c r="F4" s="232" t="s">
        <v>36</v>
      </c>
      <c r="G4" s="232"/>
    </row>
    <row r="5" spans="1:7" x14ac:dyDescent="0.35">
      <c r="A5" s="231"/>
      <c r="B5" s="231"/>
      <c r="C5" s="231"/>
      <c r="D5" s="231"/>
      <c r="E5" s="231"/>
      <c r="F5" s="233" t="s">
        <v>7</v>
      </c>
      <c r="G5" s="233" t="s">
        <v>8</v>
      </c>
    </row>
    <row r="6" spans="1:7" x14ac:dyDescent="0.35">
      <c r="A6" s="234">
        <v>1</v>
      </c>
      <c r="B6" s="234">
        <v>2</v>
      </c>
      <c r="C6" s="234">
        <v>3</v>
      </c>
      <c r="D6" s="234">
        <v>4</v>
      </c>
      <c r="E6" s="234">
        <v>5</v>
      </c>
      <c r="F6" s="234">
        <v>6</v>
      </c>
      <c r="G6" s="234">
        <v>7</v>
      </c>
    </row>
    <row r="7" spans="1:7" s="24" customFormat="1" ht="17.399999999999999" x14ac:dyDescent="0.3">
      <c r="A7" s="233"/>
      <c r="B7" s="235" t="s">
        <v>135</v>
      </c>
      <c r="C7" s="233"/>
      <c r="D7" s="233"/>
      <c r="E7" s="236"/>
      <c r="F7" s="236">
        <f>+F8+F9</f>
        <v>5166.6666666666661</v>
      </c>
      <c r="G7" s="236">
        <f>+G8+G9</f>
        <v>62000</v>
      </c>
    </row>
    <row r="8" spans="1:7" x14ac:dyDescent="0.35">
      <c r="A8" s="240">
        <v>1</v>
      </c>
      <c r="B8" s="237" t="s">
        <v>136</v>
      </c>
      <c r="C8" s="239" t="s">
        <v>138</v>
      </c>
      <c r="D8" s="240">
        <v>1</v>
      </c>
      <c r="E8" s="238">
        <v>55000</v>
      </c>
      <c r="F8" s="238">
        <f>+E8*D8/12</f>
        <v>4583.333333333333</v>
      </c>
      <c r="G8" s="238">
        <f>+E8*D8</f>
        <v>55000</v>
      </c>
    </row>
    <row r="9" spans="1:7" x14ac:dyDescent="0.35">
      <c r="A9" s="240">
        <v>2</v>
      </c>
      <c r="B9" s="237" t="s">
        <v>137</v>
      </c>
      <c r="C9" s="239" t="s">
        <v>98</v>
      </c>
      <c r="D9" s="240">
        <v>2</v>
      </c>
      <c r="E9" s="238">
        <v>3500</v>
      </c>
      <c r="F9" s="238">
        <f>+E9*D9/12</f>
        <v>583.33333333333337</v>
      </c>
      <c r="G9" s="238">
        <f>+E9*D9</f>
        <v>7000</v>
      </c>
    </row>
    <row r="10" spans="1:7" x14ac:dyDescent="0.35">
      <c r="B10" s="1" t="s">
        <v>250</v>
      </c>
      <c r="F10" s="230"/>
    </row>
    <row r="11" spans="1:7" x14ac:dyDescent="0.35">
      <c r="A11" s="231" t="s">
        <v>3</v>
      </c>
      <c r="B11" s="231" t="s">
        <v>47</v>
      </c>
      <c r="C11" s="231" t="s">
        <v>15</v>
      </c>
      <c r="D11" s="231" t="s">
        <v>29</v>
      </c>
      <c r="E11" s="231" t="s">
        <v>42</v>
      </c>
      <c r="F11" s="232" t="s">
        <v>36</v>
      </c>
      <c r="G11" s="232"/>
    </row>
    <row r="12" spans="1:7" x14ac:dyDescent="0.35">
      <c r="A12" s="231"/>
      <c r="B12" s="231"/>
      <c r="C12" s="231"/>
      <c r="D12" s="231"/>
      <c r="E12" s="231"/>
      <c r="F12" s="233" t="s">
        <v>7</v>
      </c>
      <c r="G12" s="233" t="s">
        <v>8</v>
      </c>
    </row>
    <row r="13" spans="1:7" x14ac:dyDescent="0.35">
      <c r="A13" s="234">
        <v>1</v>
      </c>
      <c r="B13" s="234">
        <v>2</v>
      </c>
      <c r="C13" s="234">
        <v>3</v>
      </c>
      <c r="D13" s="234">
        <v>4</v>
      </c>
      <c r="E13" s="234">
        <v>5</v>
      </c>
      <c r="F13" s="234">
        <v>6</v>
      </c>
      <c r="G13" s="234">
        <v>7</v>
      </c>
    </row>
    <row r="14" spans="1:7" x14ac:dyDescent="0.35">
      <c r="A14" s="233"/>
      <c r="B14" s="235" t="s">
        <v>135</v>
      </c>
      <c r="C14" s="233"/>
      <c r="D14" s="233"/>
      <c r="E14" s="236"/>
      <c r="F14" s="236">
        <f>+F15+F16</f>
        <v>21250</v>
      </c>
      <c r="G14" s="236">
        <f>+G15+G16</f>
        <v>255000</v>
      </c>
    </row>
    <row r="15" spans="1:7" x14ac:dyDescent="0.35">
      <c r="A15" s="240">
        <v>1</v>
      </c>
      <c r="B15" s="237" t="s">
        <v>136</v>
      </c>
      <c r="C15" s="239" t="s">
        <v>138</v>
      </c>
      <c r="D15" s="240">
        <v>4</v>
      </c>
      <c r="E15" s="238">
        <v>55000</v>
      </c>
      <c r="F15" s="238">
        <f>+E15*D15/12</f>
        <v>18333.333333333332</v>
      </c>
      <c r="G15" s="238">
        <f>+E15*D15</f>
        <v>220000</v>
      </c>
    </row>
    <row r="16" spans="1:7" x14ac:dyDescent="0.35">
      <c r="A16" s="240">
        <v>2</v>
      </c>
      <c r="B16" s="237" t="s">
        <v>137</v>
      </c>
      <c r="C16" s="239" t="s">
        <v>98</v>
      </c>
      <c r="D16" s="240">
        <v>10</v>
      </c>
      <c r="E16" s="238">
        <v>3500</v>
      </c>
      <c r="F16" s="238">
        <f>+E16*D16/12</f>
        <v>2916.6666666666665</v>
      </c>
      <c r="G16" s="238">
        <f>+E16*D16</f>
        <v>35000</v>
      </c>
    </row>
  </sheetData>
  <mergeCells count="14">
    <mergeCell ref="F11:G11"/>
    <mergeCell ref="A11:A12"/>
    <mergeCell ref="B11:B12"/>
    <mergeCell ref="C11:C12"/>
    <mergeCell ref="D11:D12"/>
    <mergeCell ref="E11:E12"/>
    <mergeCell ref="F4:G4"/>
    <mergeCell ref="A1:G1"/>
    <mergeCell ref="A2:G2"/>
    <mergeCell ref="A4:A5"/>
    <mergeCell ref="B4:B5"/>
    <mergeCell ref="C4:C5"/>
    <mergeCell ref="D4:D5"/>
    <mergeCell ref="E4:E5"/>
  </mergeCells>
  <pageMargins left="1.36"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topLeftCell="A7" zoomScale="142" zoomScaleNormal="142" workbookViewId="0">
      <selection activeCell="H15" sqref="H15"/>
    </sheetView>
  </sheetViews>
  <sheetFormatPr defaultColWidth="9.109375" defaultRowHeight="18" x14ac:dyDescent="0.35"/>
  <cols>
    <col min="1" max="1" width="5.109375" style="1" bestFit="1" customWidth="1"/>
    <col min="2" max="2" width="32.44140625" style="1" customWidth="1"/>
    <col min="3" max="3" width="9" style="157" customWidth="1"/>
    <col min="4" max="4" width="12.109375" style="157" customWidth="1"/>
    <col min="5" max="5" width="12.44140625" style="157" customWidth="1"/>
    <col min="6" max="6" width="14.21875" style="1" customWidth="1"/>
    <col min="7" max="7" width="14.44140625" style="1" customWidth="1"/>
    <col min="8" max="8" width="16.6640625" style="1" customWidth="1"/>
    <col min="9" max="9" width="9.109375" style="1"/>
    <col min="10" max="10" width="14" style="1" customWidth="1"/>
    <col min="11" max="16384" width="9.109375" style="1"/>
  </cols>
  <sheetData>
    <row r="1" spans="1:8" x14ac:dyDescent="0.35">
      <c r="A1" s="150" t="s">
        <v>48</v>
      </c>
      <c r="B1" s="150"/>
      <c r="C1" s="150"/>
      <c r="D1" s="150"/>
      <c r="E1" s="150"/>
      <c r="F1" s="150"/>
      <c r="G1" s="150"/>
      <c r="H1" s="150"/>
    </row>
    <row r="2" spans="1:8" x14ac:dyDescent="0.35">
      <c r="A2" s="150" t="s">
        <v>206</v>
      </c>
      <c r="B2" s="150"/>
      <c r="C2" s="150"/>
      <c r="D2" s="150"/>
      <c r="E2" s="150"/>
      <c r="F2" s="150"/>
      <c r="G2" s="150"/>
      <c r="H2" s="150"/>
    </row>
    <row r="3" spans="1:8" x14ac:dyDescent="0.35">
      <c r="B3" s="1" t="s">
        <v>248</v>
      </c>
    </row>
    <row r="4" spans="1:8" x14ac:dyDescent="0.35">
      <c r="A4" s="231" t="s">
        <v>3</v>
      </c>
      <c r="B4" s="231" t="s">
        <v>50</v>
      </c>
      <c r="C4" s="231" t="s">
        <v>29</v>
      </c>
      <c r="D4" s="231" t="s">
        <v>35</v>
      </c>
      <c r="E4" s="231" t="s">
        <v>104</v>
      </c>
      <c r="F4" s="231" t="s">
        <v>33</v>
      </c>
      <c r="G4" s="232" t="s">
        <v>36</v>
      </c>
      <c r="H4" s="232"/>
    </row>
    <row r="5" spans="1:8" ht="42.6" customHeight="1" x14ac:dyDescent="0.35">
      <c r="A5" s="231"/>
      <c r="B5" s="231"/>
      <c r="C5" s="231"/>
      <c r="D5" s="231"/>
      <c r="E5" s="231"/>
      <c r="F5" s="231"/>
      <c r="G5" s="233" t="s">
        <v>7</v>
      </c>
      <c r="H5" s="233" t="s">
        <v>8</v>
      </c>
    </row>
    <row r="6" spans="1:8" x14ac:dyDescent="0.35">
      <c r="A6" s="234">
        <v>1</v>
      </c>
      <c r="B6" s="234">
        <v>2</v>
      </c>
      <c r="C6" s="234">
        <v>3</v>
      </c>
      <c r="D6" s="234">
        <v>4</v>
      </c>
      <c r="E6" s="234">
        <v>5</v>
      </c>
      <c r="F6" s="234">
        <v>6</v>
      </c>
      <c r="G6" s="234">
        <v>7</v>
      </c>
      <c r="H6" s="234">
        <v>8</v>
      </c>
    </row>
    <row r="7" spans="1:8" x14ac:dyDescent="0.35">
      <c r="A7" s="234"/>
      <c r="B7" s="233" t="s">
        <v>193</v>
      </c>
      <c r="C7" s="233"/>
      <c r="D7" s="233"/>
      <c r="E7" s="233"/>
      <c r="F7" s="241"/>
      <c r="G7" s="241">
        <f t="shared" ref="G7:H7" si="0">+SUM(G8:G12)</f>
        <v>409859.39999999997</v>
      </c>
      <c r="H7" s="241">
        <f t="shared" si="0"/>
        <v>4918312.7999999989</v>
      </c>
    </row>
    <row r="8" spans="1:8" x14ac:dyDescent="0.35">
      <c r="A8" s="240">
        <v>1</v>
      </c>
      <c r="B8" s="242" t="s">
        <v>99</v>
      </c>
      <c r="C8" s="240">
        <v>1</v>
      </c>
      <c r="D8" s="240">
        <v>0.3</v>
      </c>
      <c r="E8" s="240">
        <v>0.5</v>
      </c>
      <c r="F8" s="238">
        <f>+'PL1'!F10</f>
        <v>2027</v>
      </c>
      <c r="G8" s="238">
        <f>+C8*D8*E8*F8*30</f>
        <v>9121.5</v>
      </c>
      <c r="H8" s="238">
        <f>+G8*12</f>
        <v>109458</v>
      </c>
    </row>
    <row r="9" spans="1:8" x14ac:dyDescent="0.35">
      <c r="A9" s="240">
        <v>2</v>
      </c>
      <c r="B9" s="242" t="s">
        <v>100</v>
      </c>
      <c r="C9" s="240">
        <v>1</v>
      </c>
      <c r="D9" s="240">
        <v>0.25</v>
      </c>
      <c r="E9" s="243">
        <v>8</v>
      </c>
      <c r="F9" s="238">
        <f>+F8</f>
        <v>2027</v>
      </c>
      <c r="G9" s="238">
        <f>+C9*D9*E9*F9*30</f>
        <v>121620</v>
      </c>
      <c r="H9" s="238">
        <f t="shared" ref="H9:H12" si="1">+G9*12</f>
        <v>1459440</v>
      </c>
    </row>
    <row r="10" spans="1:8" x14ac:dyDescent="0.35">
      <c r="A10" s="240">
        <v>3</v>
      </c>
      <c r="B10" s="242" t="s">
        <v>101</v>
      </c>
      <c r="C10" s="240">
        <v>1</v>
      </c>
      <c r="D10" s="240">
        <v>1</v>
      </c>
      <c r="E10" s="243">
        <f>45/60</f>
        <v>0.75</v>
      </c>
      <c r="F10" s="238">
        <f>+F9</f>
        <v>2027</v>
      </c>
      <c r="G10" s="238">
        <f t="shared" ref="G10:G12" si="2">+C10*D10*E10*F10*30</f>
        <v>45607.5</v>
      </c>
      <c r="H10" s="238">
        <f t="shared" si="1"/>
        <v>547290</v>
      </c>
    </row>
    <row r="11" spans="1:8" ht="25.2" customHeight="1" x14ac:dyDescent="0.35">
      <c r="A11" s="240">
        <v>4</v>
      </c>
      <c r="B11" s="244" t="s">
        <v>102</v>
      </c>
      <c r="C11" s="240">
        <v>1</v>
      </c>
      <c r="D11" s="240">
        <v>4.4999999999999998E-2</v>
      </c>
      <c r="E11" s="240">
        <v>12</v>
      </c>
      <c r="F11" s="245">
        <f>+F8</f>
        <v>2027</v>
      </c>
      <c r="G11" s="245">
        <f t="shared" si="2"/>
        <v>32837.4</v>
      </c>
      <c r="H11" s="245">
        <f t="shared" si="1"/>
        <v>394048.80000000005</v>
      </c>
    </row>
    <row r="12" spans="1:8" x14ac:dyDescent="0.35">
      <c r="A12" s="240">
        <v>5</v>
      </c>
      <c r="B12" s="244" t="s">
        <v>103</v>
      </c>
      <c r="C12" s="240">
        <v>1</v>
      </c>
      <c r="D12" s="240">
        <v>0.82499999999999996</v>
      </c>
      <c r="E12" s="240">
        <v>4</v>
      </c>
      <c r="F12" s="238">
        <f>+F8</f>
        <v>2027</v>
      </c>
      <c r="G12" s="238">
        <f t="shared" si="2"/>
        <v>200672.99999999997</v>
      </c>
      <c r="H12" s="238">
        <f t="shared" si="1"/>
        <v>2408075.9999999995</v>
      </c>
    </row>
    <row r="13" spans="1:8" x14ac:dyDescent="0.35">
      <c r="B13" s="1" t="s">
        <v>251</v>
      </c>
    </row>
    <row r="14" spans="1:8" x14ac:dyDescent="0.35">
      <c r="A14" s="231" t="s">
        <v>3</v>
      </c>
      <c r="B14" s="231" t="s">
        <v>50</v>
      </c>
      <c r="C14" s="231" t="s">
        <v>29</v>
      </c>
      <c r="D14" s="231" t="s">
        <v>35</v>
      </c>
      <c r="E14" s="231" t="s">
        <v>104</v>
      </c>
      <c r="F14" s="231" t="s">
        <v>33</v>
      </c>
      <c r="G14" s="232" t="s">
        <v>36</v>
      </c>
      <c r="H14" s="232"/>
    </row>
    <row r="15" spans="1:8" ht="39.6" customHeight="1" x14ac:dyDescent="0.35">
      <c r="A15" s="231"/>
      <c r="B15" s="231"/>
      <c r="C15" s="231"/>
      <c r="D15" s="231"/>
      <c r="E15" s="231"/>
      <c r="F15" s="231"/>
      <c r="G15" s="233" t="s">
        <v>7</v>
      </c>
      <c r="H15" s="233" t="s">
        <v>8</v>
      </c>
    </row>
    <row r="16" spans="1:8" x14ac:dyDescent="0.35">
      <c r="A16" s="234">
        <v>1</v>
      </c>
      <c r="B16" s="234">
        <v>2</v>
      </c>
      <c r="C16" s="234">
        <v>3</v>
      </c>
      <c r="D16" s="234">
        <v>4</v>
      </c>
      <c r="E16" s="234">
        <v>5</v>
      </c>
      <c r="F16" s="234">
        <v>6</v>
      </c>
      <c r="G16" s="234">
        <v>7</v>
      </c>
      <c r="H16" s="234">
        <v>8</v>
      </c>
    </row>
    <row r="17" spans="1:8" x14ac:dyDescent="0.35">
      <c r="A17" s="234"/>
      <c r="B17" s="233" t="s">
        <v>193</v>
      </c>
      <c r="C17" s="233"/>
      <c r="D17" s="233"/>
      <c r="E17" s="233"/>
      <c r="F17" s="241"/>
      <c r="G17" s="241">
        <f t="shared" ref="G17:H17" si="3">+SUM(G18:G22)</f>
        <v>1639437.5999999999</v>
      </c>
      <c r="H17" s="241">
        <f t="shared" si="3"/>
        <v>19673251.199999996</v>
      </c>
    </row>
    <row r="18" spans="1:8" x14ac:dyDescent="0.35">
      <c r="A18" s="240">
        <v>1</v>
      </c>
      <c r="B18" s="242" t="s">
        <v>99</v>
      </c>
      <c r="C18" s="240">
        <v>4</v>
      </c>
      <c r="D18" s="240">
        <v>0.3</v>
      </c>
      <c r="E18" s="240">
        <v>0.5</v>
      </c>
      <c r="F18" s="238">
        <v>2027</v>
      </c>
      <c r="G18" s="238">
        <f>+C18*D18*E18*F18*30</f>
        <v>36486</v>
      </c>
      <c r="H18" s="238">
        <f>+G18*12</f>
        <v>437832</v>
      </c>
    </row>
    <row r="19" spans="1:8" x14ac:dyDescent="0.35">
      <c r="A19" s="240">
        <v>2</v>
      </c>
      <c r="B19" s="242" t="s">
        <v>100</v>
      </c>
      <c r="C19" s="240">
        <v>4</v>
      </c>
      <c r="D19" s="240">
        <v>0.25</v>
      </c>
      <c r="E19" s="243">
        <v>8</v>
      </c>
      <c r="F19" s="238">
        <f>+F18</f>
        <v>2027</v>
      </c>
      <c r="G19" s="238">
        <f>+C19*D19*E19*F19*30</f>
        <v>486480</v>
      </c>
      <c r="H19" s="238">
        <f t="shared" ref="H19:H22" si="4">+G19*12</f>
        <v>5837760</v>
      </c>
    </row>
    <row r="20" spans="1:8" x14ac:dyDescent="0.35">
      <c r="A20" s="240">
        <v>3</v>
      </c>
      <c r="B20" s="242" t="s">
        <v>101</v>
      </c>
      <c r="C20" s="240">
        <v>4</v>
      </c>
      <c r="D20" s="240">
        <v>1</v>
      </c>
      <c r="E20" s="243">
        <f>45/60</f>
        <v>0.75</v>
      </c>
      <c r="F20" s="238">
        <f>+F19</f>
        <v>2027</v>
      </c>
      <c r="G20" s="238">
        <f t="shared" ref="G20:G22" si="5">+C20*D20*E20*F20*30</f>
        <v>182430</v>
      </c>
      <c r="H20" s="238">
        <f t="shared" si="4"/>
        <v>2189160</v>
      </c>
    </row>
    <row r="21" spans="1:8" ht="29.4" customHeight="1" x14ac:dyDescent="0.35">
      <c r="A21" s="240">
        <v>4</v>
      </c>
      <c r="B21" s="244" t="s">
        <v>102</v>
      </c>
      <c r="C21" s="240">
        <v>4</v>
      </c>
      <c r="D21" s="240">
        <v>4.4999999999999998E-2</v>
      </c>
      <c r="E21" s="240">
        <v>12</v>
      </c>
      <c r="F21" s="245">
        <f>+F18</f>
        <v>2027</v>
      </c>
      <c r="G21" s="245">
        <f t="shared" si="5"/>
        <v>131349.6</v>
      </c>
      <c r="H21" s="245">
        <f t="shared" si="4"/>
        <v>1576195.2000000002</v>
      </c>
    </row>
    <row r="22" spans="1:8" x14ac:dyDescent="0.35">
      <c r="A22" s="240">
        <v>5</v>
      </c>
      <c r="B22" s="244" t="s">
        <v>103</v>
      </c>
      <c r="C22" s="240">
        <v>4</v>
      </c>
      <c r="D22" s="240">
        <v>0.82499999999999996</v>
      </c>
      <c r="E22" s="240">
        <v>4</v>
      </c>
      <c r="F22" s="238">
        <f>+F18</f>
        <v>2027</v>
      </c>
      <c r="G22" s="238">
        <f t="shared" si="5"/>
        <v>802691.99999999988</v>
      </c>
      <c r="H22" s="238">
        <f t="shared" si="4"/>
        <v>9632303.9999999981</v>
      </c>
    </row>
  </sheetData>
  <mergeCells count="16">
    <mergeCell ref="F14:F15"/>
    <mergeCell ref="G14:H14"/>
    <mergeCell ref="A14:A15"/>
    <mergeCell ref="B14:B15"/>
    <mergeCell ref="C14:C15"/>
    <mergeCell ref="D14:D15"/>
    <mergeCell ref="E14:E15"/>
    <mergeCell ref="A1:H1"/>
    <mergeCell ref="G4:H4"/>
    <mergeCell ref="A2:H2"/>
    <mergeCell ref="A4:A5"/>
    <mergeCell ref="B4:B5"/>
    <mergeCell ref="C4:C5"/>
    <mergeCell ref="D4:D5"/>
    <mergeCell ref="E4:E5"/>
    <mergeCell ref="F4:F5"/>
  </mergeCells>
  <pageMargins left="1.36"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
  <sheetViews>
    <sheetView topLeftCell="A10" zoomScale="142" zoomScaleNormal="142" workbookViewId="0">
      <selection activeCell="K15" sqref="K15"/>
    </sheetView>
  </sheetViews>
  <sheetFormatPr defaultColWidth="9.109375" defaultRowHeight="18" x14ac:dyDescent="0.35"/>
  <cols>
    <col min="1" max="1" width="5.109375" style="157" bestFit="1" customWidth="1"/>
    <col min="2" max="2" width="24.88671875" style="1" customWidth="1"/>
    <col min="3" max="3" width="9" style="170" customWidth="1"/>
    <col min="4" max="4" width="12.77734375" style="1" customWidth="1"/>
    <col min="5" max="5" width="12" style="1" customWidth="1"/>
    <col min="6" max="6" width="14" style="1" customWidth="1"/>
    <col min="7" max="7" width="18.77734375" style="1" customWidth="1"/>
    <col min="8" max="8" width="17.77734375" style="1" customWidth="1"/>
    <col min="9" max="10" width="9.109375" style="1"/>
    <col min="11" max="11" width="13.88671875" style="1" bestFit="1" customWidth="1"/>
    <col min="12" max="12" width="12" style="1" customWidth="1"/>
    <col min="13" max="16384" width="9.109375" style="1"/>
  </cols>
  <sheetData>
    <row r="1" spans="1:8" x14ac:dyDescent="0.35">
      <c r="A1" s="150" t="s">
        <v>49</v>
      </c>
      <c r="B1" s="150"/>
      <c r="C1" s="150"/>
      <c r="D1" s="150"/>
      <c r="E1" s="150"/>
      <c r="F1" s="150"/>
      <c r="G1" s="150"/>
      <c r="H1" s="150"/>
    </row>
    <row r="2" spans="1:8" x14ac:dyDescent="0.35">
      <c r="A2" s="150" t="s">
        <v>194</v>
      </c>
      <c r="B2" s="150"/>
      <c r="C2" s="150"/>
      <c r="D2" s="150"/>
      <c r="E2" s="150"/>
      <c r="F2" s="150"/>
      <c r="G2" s="150"/>
      <c r="H2" s="150"/>
    </row>
    <row r="3" spans="1:8" x14ac:dyDescent="0.35">
      <c r="B3" s="1" t="s">
        <v>248</v>
      </c>
    </row>
    <row r="4" spans="1:8" x14ac:dyDescent="0.35">
      <c r="A4" s="231" t="s">
        <v>3</v>
      </c>
      <c r="B4" s="231" t="s">
        <v>50</v>
      </c>
      <c r="C4" s="231" t="s">
        <v>29</v>
      </c>
      <c r="D4" s="231" t="s">
        <v>35</v>
      </c>
      <c r="E4" s="231" t="s">
        <v>34</v>
      </c>
      <c r="F4" s="231" t="s">
        <v>33</v>
      </c>
      <c r="G4" s="232" t="s">
        <v>36</v>
      </c>
      <c r="H4" s="232"/>
    </row>
    <row r="5" spans="1:8" ht="52.2" customHeight="1" x14ac:dyDescent="0.35">
      <c r="A5" s="231"/>
      <c r="B5" s="231"/>
      <c r="C5" s="231"/>
      <c r="D5" s="231"/>
      <c r="E5" s="231"/>
      <c r="F5" s="231"/>
      <c r="G5" s="233" t="s">
        <v>7</v>
      </c>
      <c r="H5" s="233" t="s">
        <v>8</v>
      </c>
    </row>
    <row r="6" spans="1:8" x14ac:dyDescent="0.35">
      <c r="A6" s="234">
        <v>1</v>
      </c>
      <c r="B6" s="234">
        <v>2</v>
      </c>
      <c r="C6" s="234">
        <v>3</v>
      </c>
      <c r="D6" s="234">
        <v>4</v>
      </c>
      <c r="E6" s="234">
        <v>5</v>
      </c>
      <c r="F6" s="234">
        <v>6</v>
      </c>
      <c r="G6" s="234">
        <v>7</v>
      </c>
      <c r="H6" s="234">
        <v>8</v>
      </c>
    </row>
    <row r="7" spans="1:8" s="24" customFormat="1" x14ac:dyDescent="0.3">
      <c r="A7" s="246"/>
      <c r="B7" s="247" t="s">
        <v>193</v>
      </c>
      <c r="C7" s="247"/>
      <c r="D7" s="247"/>
      <c r="E7" s="247"/>
      <c r="F7" s="247"/>
      <c r="G7" s="264">
        <f>+SUM(G8:G11)</f>
        <v>143475.11400000003</v>
      </c>
      <c r="H7" s="264">
        <f>+SUM(H8:H11)</f>
        <v>1721701.3680000005</v>
      </c>
    </row>
    <row r="8" spans="1:8" x14ac:dyDescent="0.35">
      <c r="A8" s="262">
        <v>1</v>
      </c>
      <c r="B8" s="248" t="s">
        <v>105</v>
      </c>
      <c r="C8" s="260">
        <v>1</v>
      </c>
      <c r="D8" s="249">
        <v>1.7000000000000001E-2</v>
      </c>
      <c r="E8" s="248">
        <v>24</v>
      </c>
      <c r="F8" s="250">
        <f>+'PL1'!F10</f>
        <v>2027</v>
      </c>
      <c r="G8" s="265">
        <f>+C8*D8*E8*F8*30</f>
        <v>24810.480000000003</v>
      </c>
      <c r="H8" s="265">
        <f>+G8*12</f>
        <v>297725.76</v>
      </c>
    </row>
    <row r="9" spans="1:8" x14ac:dyDescent="0.35">
      <c r="A9" s="262">
        <v>2</v>
      </c>
      <c r="B9" s="248" t="s">
        <v>106</v>
      </c>
      <c r="C9" s="260">
        <v>8</v>
      </c>
      <c r="D9" s="249">
        <f>1.2/1000</f>
        <v>1.1999999999999999E-3</v>
      </c>
      <c r="E9" s="251">
        <v>24</v>
      </c>
      <c r="F9" s="252">
        <f>+F8</f>
        <v>2027</v>
      </c>
      <c r="G9" s="265">
        <f>+C9*D9*E9*F9*30</f>
        <v>14010.624</v>
      </c>
      <c r="H9" s="265">
        <f t="shared" ref="H9:H11" si="0">+G9*12</f>
        <v>168127.48800000001</v>
      </c>
    </row>
    <row r="10" spans="1:8" x14ac:dyDescent="0.35">
      <c r="A10" s="262">
        <v>3</v>
      </c>
      <c r="B10" s="253" t="s">
        <v>107</v>
      </c>
      <c r="C10" s="260">
        <v>1</v>
      </c>
      <c r="D10" s="249">
        <v>6.9000000000000006E-2</v>
      </c>
      <c r="E10" s="251">
        <v>24</v>
      </c>
      <c r="F10" s="252">
        <f>+F8</f>
        <v>2027</v>
      </c>
      <c r="G10" s="265">
        <f>+C10*D10*E10*F10*30</f>
        <v>100701.36000000002</v>
      </c>
      <c r="H10" s="265">
        <f t="shared" si="0"/>
        <v>1208416.3200000003</v>
      </c>
    </row>
    <row r="11" spans="1:8" x14ac:dyDescent="0.35">
      <c r="A11" s="263">
        <v>4</v>
      </c>
      <c r="B11" s="254" t="s">
        <v>108</v>
      </c>
      <c r="C11" s="261">
        <v>1</v>
      </c>
      <c r="D11" s="255">
        <v>0.65</v>
      </c>
      <c r="E11" s="254">
        <v>0.1</v>
      </c>
      <c r="F11" s="256">
        <f>+F8</f>
        <v>2027</v>
      </c>
      <c r="G11" s="266">
        <f t="shared" ref="G11" si="1">+C11*D11*E11*F11*30</f>
        <v>3952.6499999999996</v>
      </c>
      <c r="H11" s="266">
        <f t="shared" si="0"/>
        <v>47431.799999999996</v>
      </c>
    </row>
    <row r="12" spans="1:8" x14ac:dyDescent="0.35">
      <c r="B12" s="1" t="s">
        <v>251</v>
      </c>
      <c r="F12" s="50"/>
      <c r="G12" s="267"/>
      <c r="H12" s="267"/>
    </row>
    <row r="13" spans="1:8" x14ac:dyDescent="0.35">
      <c r="A13" s="231" t="s">
        <v>3</v>
      </c>
      <c r="B13" s="231" t="s">
        <v>50</v>
      </c>
      <c r="C13" s="231" t="s">
        <v>29</v>
      </c>
      <c r="D13" s="231" t="s">
        <v>35</v>
      </c>
      <c r="E13" s="231" t="s">
        <v>34</v>
      </c>
      <c r="F13" s="257" t="s">
        <v>33</v>
      </c>
      <c r="G13" s="268" t="s">
        <v>36</v>
      </c>
      <c r="H13" s="268"/>
    </row>
    <row r="14" spans="1:8" ht="50.4" customHeight="1" x14ac:dyDescent="0.35">
      <c r="A14" s="231"/>
      <c r="B14" s="231"/>
      <c r="C14" s="231"/>
      <c r="D14" s="231"/>
      <c r="E14" s="231"/>
      <c r="F14" s="257"/>
      <c r="G14" s="269" t="s">
        <v>7</v>
      </c>
      <c r="H14" s="269" t="s">
        <v>8</v>
      </c>
    </row>
    <row r="15" spans="1:8" x14ac:dyDescent="0.35">
      <c r="A15" s="234">
        <v>1</v>
      </c>
      <c r="B15" s="234">
        <v>2</v>
      </c>
      <c r="C15" s="234">
        <v>3</v>
      </c>
      <c r="D15" s="234">
        <v>4</v>
      </c>
      <c r="E15" s="234">
        <v>5</v>
      </c>
      <c r="F15" s="258">
        <v>6</v>
      </c>
      <c r="G15" s="270">
        <v>7</v>
      </c>
      <c r="H15" s="270">
        <v>8</v>
      </c>
    </row>
    <row r="16" spans="1:8" x14ac:dyDescent="0.35">
      <c r="A16" s="246"/>
      <c r="B16" s="247" t="s">
        <v>193</v>
      </c>
      <c r="C16" s="247"/>
      <c r="D16" s="247"/>
      <c r="E16" s="247"/>
      <c r="F16" s="259"/>
      <c r="G16" s="264">
        <f>+SUM(G17:G20)</f>
        <v>430425.342</v>
      </c>
      <c r="H16" s="264">
        <f>+SUM(H17:H20)</f>
        <v>5165104.1040000003</v>
      </c>
    </row>
    <row r="17" spans="1:8" x14ac:dyDescent="0.35">
      <c r="A17" s="262">
        <v>1</v>
      </c>
      <c r="B17" s="248" t="s">
        <v>105</v>
      </c>
      <c r="C17" s="260">
        <v>3</v>
      </c>
      <c r="D17" s="249">
        <v>1.7000000000000001E-2</v>
      </c>
      <c r="E17" s="248">
        <v>24</v>
      </c>
      <c r="F17" s="250">
        <v>2027</v>
      </c>
      <c r="G17" s="265">
        <f>+C17*D17*E17*F17*30</f>
        <v>74431.44</v>
      </c>
      <c r="H17" s="265">
        <f>+G17*12</f>
        <v>893177.28</v>
      </c>
    </row>
    <row r="18" spans="1:8" x14ac:dyDescent="0.35">
      <c r="A18" s="262">
        <v>2</v>
      </c>
      <c r="B18" s="248" t="s">
        <v>106</v>
      </c>
      <c r="C18" s="260">
        <v>24</v>
      </c>
      <c r="D18" s="249">
        <f>1.2/1000</f>
        <v>1.1999999999999999E-3</v>
      </c>
      <c r="E18" s="251">
        <v>24</v>
      </c>
      <c r="F18" s="252">
        <f>+F17</f>
        <v>2027</v>
      </c>
      <c r="G18" s="265">
        <f>+C18*D18*E18*F18*30</f>
        <v>42031.872000000003</v>
      </c>
      <c r="H18" s="265">
        <f t="shared" ref="H18:H20" si="2">+G18*12</f>
        <v>504382.46400000004</v>
      </c>
    </row>
    <row r="19" spans="1:8" x14ac:dyDescent="0.35">
      <c r="A19" s="262">
        <v>3</v>
      </c>
      <c r="B19" s="253" t="s">
        <v>107</v>
      </c>
      <c r="C19" s="260">
        <v>3</v>
      </c>
      <c r="D19" s="249">
        <v>6.9000000000000006E-2</v>
      </c>
      <c r="E19" s="251">
        <v>24</v>
      </c>
      <c r="F19" s="252">
        <f>+F17</f>
        <v>2027</v>
      </c>
      <c r="G19" s="265">
        <f>+C19*D19*E19*F19*30</f>
        <v>302104.08</v>
      </c>
      <c r="H19" s="265">
        <f t="shared" si="2"/>
        <v>3625248.96</v>
      </c>
    </row>
    <row r="20" spans="1:8" x14ac:dyDescent="0.35">
      <c r="A20" s="263">
        <v>4</v>
      </c>
      <c r="B20" s="254" t="s">
        <v>108</v>
      </c>
      <c r="C20" s="261">
        <v>3</v>
      </c>
      <c r="D20" s="255">
        <v>0.65</v>
      </c>
      <c r="E20" s="254">
        <v>0.1</v>
      </c>
      <c r="F20" s="256">
        <v>2027</v>
      </c>
      <c r="G20" s="266">
        <f t="shared" ref="G20" si="3">+C20*D20*E20*F20*30</f>
        <v>11857.95</v>
      </c>
      <c r="H20" s="266">
        <f t="shared" si="2"/>
        <v>142295.40000000002</v>
      </c>
    </row>
  </sheetData>
  <mergeCells count="16">
    <mergeCell ref="F13:F14"/>
    <mergeCell ref="G13:H13"/>
    <mergeCell ref="A13:A14"/>
    <mergeCell ref="B13:B14"/>
    <mergeCell ref="C13:C14"/>
    <mergeCell ref="D13:D14"/>
    <mergeCell ref="E13:E14"/>
    <mergeCell ref="A1:H1"/>
    <mergeCell ref="A2:H2"/>
    <mergeCell ref="A4:A5"/>
    <mergeCell ref="B4:B5"/>
    <mergeCell ref="C4:C5"/>
    <mergeCell ref="D4:D5"/>
    <mergeCell ref="E4:E5"/>
    <mergeCell ref="F4:F5"/>
    <mergeCell ref="G4:H4"/>
  </mergeCells>
  <pageMargins left="1.36"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Dự toán</vt:lpstr>
      <vt:lpstr>PL1</vt:lpstr>
      <vt:lpstr>PL2</vt:lpstr>
      <vt:lpstr>PL3</vt:lpstr>
      <vt:lpstr>PL4</vt:lpstr>
      <vt:lpstr>PL5</vt:lpstr>
      <vt:lpstr>PL6</vt:lpstr>
      <vt:lpstr>PL7</vt:lpstr>
      <vt:lpstr>PL8</vt:lpstr>
      <vt:lpstr>PL9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2024-09-16T01:56:33Z</dcterms:modified>
</cp:coreProperties>
</file>